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drawings/drawing1.xml" ContentType="application/vnd.openxmlformats-officedocument.drawing+xml"/>
  <Override PartName="/xl/tables/table2.xml" ContentType="application/vnd.openxmlformats-officedocument.spreadsheetml.table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2.xml" ContentType="application/vnd.openxmlformats-officedocument.drawing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drawings/drawing3.xml" ContentType="application/vnd.openxmlformats-officedocument.drawing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drawings/drawing4.xml" ContentType="application/vnd.openxmlformats-officedocument.drawing+xml"/>
  <Override PartName="/xl/worksheets/sheet19.xml" ContentType="application/vnd.openxmlformats-officedocument.spreadsheetml.worksheet+xml"/>
  <Override PartName="/xl/drawings/drawing5.xml" ContentType="application/vnd.openxmlformats-officedocument.drawing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workbook.xml" ContentType="application/vnd.openxmlformats-officedocument.spreadsheetml.sheet.main+xml"/>
  <Override PartName="/xl/metadata.xml" ContentType="application/vnd.openxmlformats-officedocument.spreadsheetml.sheetMetadata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40" yWindow="15" windowWidth="16095" windowHeight="9660" tabRatio="600" firstSheet="0" activeTab="0" autoFilterDateGrouping="1"/>
  </bookViews>
  <sheets>
    <sheet xmlns:r="http://schemas.openxmlformats.org/officeDocument/2006/relationships" name="Sommair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Journal" sheetId="3" state="visible" r:id="rId3"/>
    <sheet xmlns:r="http://schemas.openxmlformats.org/officeDocument/2006/relationships" name="Saisie" sheetId="4" state="visible" r:id="rId4"/>
    <sheet xmlns:r="http://schemas.openxmlformats.org/officeDocument/2006/relationships" name="Grand livre" sheetId="5" state="visible" r:id="rId5"/>
    <sheet xmlns:r="http://schemas.openxmlformats.org/officeDocument/2006/relationships" name="Balance" sheetId="6" state="visible" r:id="rId6"/>
    <sheet xmlns:r="http://schemas.openxmlformats.org/officeDocument/2006/relationships" name="Bilan" sheetId="7" state="visible" r:id="rId7"/>
    <sheet xmlns:r="http://schemas.openxmlformats.org/officeDocument/2006/relationships" name="Compte de résultat" sheetId="8" state="visible" r:id="rId8"/>
    <sheet xmlns:r="http://schemas.openxmlformats.org/officeDocument/2006/relationships" name="Immobilisations" sheetId="9" state="visible" r:id="rId9"/>
    <sheet xmlns:r="http://schemas.openxmlformats.org/officeDocument/2006/relationships" name="Emprunt" sheetId="10" state="visible" r:id="rId10"/>
    <sheet xmlns:r="http://schemas.openxmlformats.org/officeDocument/2006/relationships" name="Débiteurs" sheetId="11" state="visible" r:id="rId11"/>
    <sheet xmlns:r="http://schemas.openxmlformats.org/officeDocument/2006/relationships" name="Flux de trésorerie" sheetId="12" state="visible" r:id="rId12"/>
    <sheet xmlns:r="http://schemas.openxmlformats.org/officeDocument/2006/relationships" name="Budget &amp; écarts" sheetId="13" state="visible" r:id="rId13"/>
    <sheet xmlns:r="http://schemas.openxmlformats.org/officeDocument/2006/relationships" name="Budget N+1" sheetId="14" state="visible" r:id="rId14"/>
    <sheet xmlns:r="http://schemas.openxmlformats.org/officeDocument/2006/relationships" name="Scénarios" sheetId="15" state="visible" r:id="rId15"/>
    <sheet xmlns:r="http://schemas.openxmlformats.org/officeDocument/2006/relationships" name="Tableau de bord" sheetId="16" state="visible" r:id="rId16"/>
    <sheet xmlns:r="http://schemas.openxmlformats.org/officeDocument/2006/relationships" name="Ratios &amp; analyse" sheetId="17" state="visible" r:id="rId17"/>
    <sheet xmlns:r="http://schemas.openxmlformats.org/officeDocument/2006/relationships" name="Compta analytique" sheetId="18" state="visible" r:id="rId18"/>
    <sheet xmlns:r="http://schemas.openxmlformats.org/officeDocument/2006/relationships" name="Seuil de rentabilité" sheetId="19" state="visible" r:id="rId19"/>
    <sheet xmlns:r="http://schemas.openxmlformats.org/officeDocument/2006/relationships" name="Salaires" sheetId="20" state="visible" r:id="rId20"/>
    <sheet xmlns:r="http://schemas.openxmlformats.org/officeDocument/2006/relationships" name="Fiche de salaire" sheetId="21" state="visible" r:id="rId21"/>
    <sheet xmlns:r="http://schemas.openxmlformats.org/officeDocument/2006/relationships" name="Décompte TVA" sheetId="22" state="visible" r:id="rId22"/>
    <sheet xmlns:r="http://schemas.openxmlformats.org/officeDocument/2006/relationships" name="Impôts" sheetId="23" state="visible" r:id="rId23"/>
    <sheet xmlns:r="http://schemas.openxmlformats.org/officeDocument/2006/relationships" name="Rapprochement" sheetId="24" state="visible" r:id="rId24"/>
    <sheet xmlns:r="http://schemas.openxmlformats.org/officeDocument/2006/relationships" name="Contrôles" sheetId="25" state="visible" r:id="rId25"/>
    <sheet xmlns:r="http://schemas.openxmlformats.org/officeDocument/2006/relationships" name="Méthodes" sheetId="26" state="visible" r:id="rId26"/>
  </sheets>
  <definedNames>
    <definedName name="Comptes">'Paramètres'!$A$4:$A$32</definedName>
    <definedName name="Employes">'Salaires'!$A$6:$A$8</definedName>
    <definedName name="LPP_age">'Paramètres'!$J$4:$J$7</definedName>
    <definedName name="LPP_taux">'Paramètres'!$K$4:$K$7</definedName>
    <definedName name="TVA_codes">'Paramètres'!$F$4:$F$7</definedName>
    <definedName name="TVA_taux">'Paramètres'!$H$4:$H$7</definedName>
    <definedName name="Base">'Paramètres'!$D$4:$D$32</definedName>
    <definedName name="Libelles">'Paramètres'!$B$4:$B$32</definedName>
    <definedName name="_xlnm.Print_Area" localSheetId="0">'Sommaire'!$A$1:$H$43</definedName>
    <definedName name="_xlnm.Print_Titles" localSheetId="2">'Journal'!$1:$1</definedName>
    <definedName name="_xlnm.Print_Area" localSheetId="20">'Fiche de salaire'!$A$1:$C$38</definedName>
  </definedNames>
  <calcPr calcId="124519" fullCalcOnLoad="1"/>
</workbook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>
  <numFmts count="12">
    <numFmt numFmtId="164" formatCode="#,##0&quot; CHF&quot;"/>
    <numFmt numFmtId="165" formatCode="0.0%"/>
    <numFmt numFmtId="166" formatCode="dd/mm/yyyy"/>
    <numFmt numFmtId="167" formatCode="#,##0.00&quot; CHF&quot;"/>
    <numFmt numFmtId="168" formatCode="+0.0%;-0.0%"/>
    <numFmt numFmtId="169" formatCode="+0%;-0%"/>
    <numFmt numFmtId="170" formatCode="0&quot; j&quot;"/>
    <numFmt numFmtId="171" formatCode="&quot;CHF &quot;#,##0"/>
    <numFmt numFmtId="172" formatCode="yyyy-mm-dd h:mm:ss"/>
    <numFmt numFmtId="173" formatCode="&quot;CHF &quot;#,##0.00;&quot;CHF &quot;-#,##0.00"/>
    <numFmt numFmtId="174" formatCode="&quot;CHF &quot;#,##0;&quot;CHF &quot;-#,##0"/>
    <numFmt numFmtId="175" formatCode="DD.MM.YYYY"/>
  </numFmts>
  <fonts count="70">
    <font>
      <name val="Arial"/>
      <family val="2"/>
      <color theme="1"/>
      <sz val="11"/>
      <scheme val="minor"/>
    </font>
    <font>
      <name val="Arial"/>
      <family val="2"/>
      <b val="1"/>
      <color rgb="FF2563EB"/>
      <sz val="8"/>
    </font>
    <font>
      <name val="Arial"/>
      <family val="2"/>
      <b val="1"/>
      <color rgb="FF0F172A"/>
      <sz val="25"/>
    </font>
    <font>
      <name val="Arial"/>
      <family val="2"/>
      <color rgb="FF64748B"/>
      <sz val="10"/>
    </font>
    <font>
      <name val="Arial"/>
      <family val="2"/>
      <b val="1"/>
      <color rgb="FF64748B"/>
      <sz val="9"/>
    </font>
    <font>
      <name val="Arial"/>
      <family val="2"/>
      <b val="1"/>
      <color rgb="FF0F172A"/>
      <sz val="18"/>
    </font>
    <font>
      <name val="Arial"/>
      <family val="2"/>
      <b val="1"/>
      <color rgb="FF059669"/>
      <sz val="18"/>
    </font>
    <font>
      <name val="Arial"/>
      <family val="2"/>
      <color theme="1"/>
      <sz val="11"/>
    </font>
    <font>
      <name val="Arial"/>
      <family val="2"/>
      <b val="1"/>
      <color rgb="FF2563EB"/>
      <sz val="15"/>
    </font>
    <font>
      <name val="Arial"/>
      <family val="2"/>
      <b val="1"/>
      <color rgb="FF2563EB"/>
      <sz val="11"/>
      <u val="single"/>
    </font>
    <font>
      <name val="Arial"/>
      <family val="2"/>
      <color rgb="FF64748B"/>
      <sz val="11"/>
    </font>
    <font>
      <name val="Arial"/>
      <family val="2"/>
      <b val="1"/>
      <color rgb="FFFFFFFF"/>
      <sz val="10"/>
    </font>
    <font>
      <name val="Arial"/>
      <family val="2"/>
      <i val="1"/>
      <color rgb="FF64748B"/>
      <sz val="9"/>
    </font>
    <font>
      <name val="Arial"/>
      <family val="2"/>
      <b val="1"/>
      <color rgb="FF0F172A"/>
      <sz val="11"/>
    </font>
    <font>
      <name val="Arial"/>
      <family val="2"/>
      <b val="1"/>
      <color rgb="FF2563EB"/>
      <sz val="11"/>
    </font>
    <font>
      <name val="Arial"/>
      <family val="2"/>
      <b val="1"/>
      <color theme="1"/>
      <sz val="11"/>
    </font>
    <font>
      <name val="Arial"/>
      <family val="2"/>
      <b val="1"/>
      <color rgb="FF64748B"/>
      <sz val="11"/>
    </font>
    <font>
      <name val="Arial"/>
      <family val="2"/>
      <b val="1"/>
      <color rgb="FF059669"/>
      <sz val="11"/>
    </font>
    <font>
      <name val="Arial"/>
      <family val="2"/>
      <b val="1"/>
      <color theme="1"/>
      <sz val="12"/>
    </font>
    <font>
      <name val="Arial"/>
      <family val="2"/>
      <b val="1"/>
      <color rgb="FF059669"/>
      <sz val="12"/>
    </font>
    <font>
      <name val="Arial"/>
      <family val="2"/>
      <b val="1"/>
      <color rgb="FFFFFFFF"/>
      <sz val="11"/>
    </font>
    <font>
      <name val="Arial"/>
      <family val="2"/>
      <color theme="1"/>
      <sz val="11"/>
    </font>
    <font>
      <name val="Arial"/>
      <family val="2"/>
      <color rgb="FF1E293B"/>
      <sz val="11"/>
    </font>
    <font>
      <name val="Arial"/>
      <family val="2"/>
      <b val="1"/>
      <color rgb="FF1E293B"/>
      <sz val="11"/>
    </font>
    <font>
      <name val="Arial"/>
      <family val="2"/>
      <b val="1"/>
      <color rgb="FF0F172A"/>
      <sz val="16"/>
    </font>
    <font>
      <name val="Arial"/>
      <family val="2"/>
      <b val="1"/>
      <color rgb="FF059669"/>
      <sz val="16"/>
    </font>
    <font>
      <name val="Arial"/>
      <family val="2"/>
      <color rgb="FF059669"/>
      <sz val="9"/>
    </font>
    <font>
      <name val="Arial"/>
      <family val="2"/>
      <color rgb="FF64748B"/>
      <sz val="9"/>
    </font>
    <font>
      <name val="Arial"/>
      <family val="2"/>
      <b val="1"/>
      <color theme="1"/>
      <sz val="13"/>
    </font>
    <font>
      <name val="Arial"/>
      <family val="2"/>
      <b val="1"/>
      <color rgb="FF059669"/>
      <sz val="13"/>
    </font>
    <font>
      <name val="Arial"/>
      <family val="2"/>
      <b val="1"/>
      <color rgb="FF2563EB"/>
      <sz val="12"/>
    </font>
    <font>
      <name val="Arial"/>
      <i val="1"/>
      <color rgb="0064748B"/>
      <sz val="10"/>
    </font>
    <font>
      <name val="Arial"/>
      <b val="1"/>
      <color rgb="000F172A"/>
      <sz val="10"/>
    </font>
    <font>
      <name val="Arial"/>
      <color rgb="002563EB"/>
      <sz val="10"/>
    </font>
    <font>
      <name val="Arial"/>
      <b val="1"/>
      <color rgb="002563EB"/>
      <sz val="13"/>
    </font>
    <font>
      <name val="Arial"/>
      <color rgb="0064748B"/>
      <sz val="10"/>
    </font>
    <font>
      <name val="Arial"/>
      <b val="1"/>
      <color rgb="002563EB"/>
      <sz val="11"/>
    </font>
    <font>
      <name val="Arial"/>
      <sz val="10"/>
    </font>
    <font>
      <name val="Arial"/>
      <b val="1"/>
      <sz val="10"/>
    </font>
    <font>
      <name val="Arial"/>
      <b val="1"/>
      <color rgb="000F172A"/>
      <sz val="11"/>
    </font>
    <font>
      <name val="Arial"/>
      <b val="1"/>
      <color rgb="00059669"/>
      <sz val="11"/>
    </font>
    <font>
      <name val="Arial"/>
      <b val="1"/>
      <color rgb="002563EB"/>
      <sz val="10"/>
    </font>
    <font>
      <name val="Arial"/>
      <b val="1"/>
      <color rgb="FF2563EB"/>
      <sz val="13"/>
    </font>
    <font>
      <name val="Arial"/>
      <b val="1"/>
      <color rgb="FFFFFFFF"/>
      <sz val="10"/>
    </font>
    <font>
      <name val="Arial"/>
      <color theme="1"/>
      <sz val="10"/>
    </font>
    <font>
      <name val="Arial"/>
      <b val="1"/>
      <color rgb="FF0F172A"/>
      <sz val="18"/>
    </font>
    <font>
      <name val="Arial"/>
      <color rgb="FF64748B"/>
      <sz val="10"/>
    </font>
    <font>
      <name val="Arial"/>
      <b val="1"/>
      <color rgb="FF0F172A"/>
      <sz val="10"/>
    </font>
    <font>
      <name val="Arial"/>
      <b val="1"/>
      <color rgb="FF2563EB"/>
      <sz val="10"/>
    </font>
    <font>
      <name val="Arial"/>
      <i val="1"/>
      <color rgb="FF64748B"/>
      <sz val="10"/>
    </font>
    <font>
      <name val="Arial"/>
      <b val="1"/>
      <color theme="1"/>
      <sz val="10"/>
    </font>
    <font>
      <name val="Arial"/>
      <b val="1"/>
      <color rgb="FF64748B"/>
      <sz val="10"/>
    </font>
    <font>
      <name val="Arial"/>
      <b val="1"/>
      <color rgb="FF059669"/>
      <sz val="10"/>
    </font>
    <font>
      <name val="Arial"/>
      <b val="1"/>
      <color theme="1"/>
      <sz val="12"/>
    </font>
    <font>
      <name val="Arial"/>
      <b val="1"/>
      <color rgb="FF059669"/>
      <sz val="12"/>
    </font>
    <font>
      <name val="Arial"/>
      <b val="1"/>
      <color rgb="FF2563EB"/>
      <sz val="12"/>
    </font>
    <font>
      <name val="Arial"/>
      <color rgb="FF1E293B"/>
      <sz val="10"/>
    </font>
    <font>
      <name val="Arial"/>
      <b val="1"/>
      <color rgb="FF1E293B"/>
      <sz val="10"/>
    </font>
    <font>
      <name val="Arial"/>
      <b val="1"/>
      <color rgb="FF0F172A"/>
      <sz val="16"/>
    </font>
    <font>
      <name val="Arial"/>
      <b val="1"/>
      <color rgb="FF059669"/>
      <sz val="16"/>
    </font>
    <font>
      <name val="Arial"/>
      <color rgb="FF059669"/>
      <sz val="10"/>
    </font>
    <font>
      <name val="Arial"/>
      <b val="1"/>
      <color theme="1"/>
      <sz val="13"/>
    </font>
    <font>
      <name val="Arial"/>
      <b val="1"/>
      <color rgb="FF059669"/>
      <sz val="13"/>
    </font>
    <font>
      <name val="Arial"/>
      <b val="1"/>
      <color rgb="00059669"/>
      <sz val="10"/>
    </font>
    <font>
      <name val="Arial"/>
      <b val="1"/>
      <color rgb="000F172A"/>
      <sz val="18"/>
    </font>
    <font>
      <name val="Arial"/>
      <b val="1"/>
      <color rgb="0064748B"/>
      <sz val="10"/>
    </font>
    <font>
      <name val="Arial"/>
      <b val="1"/>
      <color rgb="000F172A"/>
      <sz val="16"/>
    </font>
    <font>
      <name val="Arial"/>
      <b val="1"/>
      <color rgb="00059669"/>
      <sz val="16"/>
    </font>
    <font>
      <name val="Arial"/>
      <b val="1"/>
      <color rgb="00FFFFFF"/>
      <sz val="10"/>
    </font>
    <font>
      <name val="Arial"/>
      <color rgb="001E293B"/>
      <sz val="10"/>
    </font>
  </fonts>
  <fills count="10">
    <fill>
      <patternFill/>
    </fill>
    <fill>
      <patternFill patternType="gray125"/>
    </fill>
    <fill>
      <patternFill patternType="solid">
        <fgColor rgb="FF0F172A"/>
        <bgColor indexed="64"/>
      </patternFill>
    </fill>
    <fill>
      <patternFill patternType="solid">
        <fgColor rgb="FFEFF4FF"/>
        <bgColor indexed="64"/>
      </patternFill>
    </fill>
    <fill>
      <patternFill patternType="solid">
        <fgColor rgb="FF2563EB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00F8FAFC"/>
      </patternFill>
    </fill>
    <fill>
      <patternFill patternType="solid">
        <fgColor rgb="000F172A"/>
      </patternFill>
    </fill>
    <fill>
      <patternFill patternType="solid">
        <fgColor rgb="00EFF6FF"/>
      </patternFill>
    </fill>
  </fills>
  <borders count="18">
    <border>
      <left/>
      <right/>
      <top/>
      <bottom/>
      <diagonal/>
    </border>
    <border>
      <left/>
      <right/>
      <top/>
      <bottom style="medium">
        <color rgb="FFE2E8F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>
      <left style="thin">
        <color rgb="FF2563EB"/>
      </left>
      <right style="thin">
        <color rgb="FF2563EB"/>
      </right>
      <top style="thin">
        <color rgb="FF2563EB"/>
      </top>
      <bottom style="thin">
        <color rgb="FF2563EB"/>
      </bottom>
      <diagonal/>
    </border>
    <border>
      <left/>
      <right/>
      <top style="medium">
        <color rgb="FF0F172A"/>
      </top>
      <bottom/>
      <diagonal/>
    </border>
    <border>
      <left/>
      <right/>
      <top/>
      <bottom/>
      <diagonal/>
    </border>
    <border>
      <left/>
      <right/>
      <top style="medium">
        <color rgb="FF1E293B"/>
      </top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/>
      <diagonal/>
    </border>
    <border>
      <left style="thin">
        <color rgb="FFE2E8F0"/>
      </left>
      <right style="thin">
        <color rgb="FFE2E8F0"/>
      </right>
      <top/>
      <bottom/>
      <diagonal/>
    </border>
    <border>
      <left style="thin">
        <color rgb="FFE2E8F0"/>
      </left>
      <right style="thin">
        <color rgb="FFE2E8F0"/>
      </right>
      <top/>
      <bottom style="thin">
        <color rgb="FFE2E8F0"/>
      </bottom>
      <diagonal/>
    </border>
    <border>
      <left/>
      <right/>
      <top style="thin">
        <color rgb="FFE2E8F0"/>
      </top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  <border>
      <left style="thin">
        <color rgb="00CBD5E1"/>
      </left>
      <right style="thin">
        <color rgb="00CBD5E1"/>
      </right>
      <top style="thin">
        <color rgb="00CBD5E1"/>
      </top>
    </border>
    <border>
      <left style="thin">
        <color rgb="00CBD5E1"/>
      </left>
      <right style="thin">
        <color rgb="00CBD5E1"/>
      </right>
    </border>
    <border>
      <left style="thin">
        <color rgb="00CBD5E1"/>
      </left>
      <right style="thin">
        <color rgb="00CBD5E1"/>
      </right>
      <bottom style="thin">
        <color rgb="00CBD5E1"/>
      </bottom>
    </border>
    <border>
      <top style="thin">
        <color rgb="00CBD5E1"/>
      </top>
      <bottom style="thin">
        <color rgb="00CBD5E1"/>
      </bottom>
    </border>
    <border>
      <bottom style="thin">
        <color rgb="00E2E8F0"/>
      </bottom>
    </border>
  </borders>
  <cellStyleXfs count="1">
    <xf numFmtId="0" fontId="37" fillId="0" borderId="6"/>
  </cellStyleXfs>
  <cellXfs count="187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0" borderId="0" applyAlignment="1" pivotButton="0" quotePrefix="0" xfId="0">
      <alignment vertical="center"/>
    </xf>
    <xf numFmtId="0" fontId="4" fillId="0" borderId="0" applyAlignment="1" pivotButton="0" quotePrefix="0" xfId="0">
      <alignment vertical="center"/>
    </xf>
    <xf numFmtId="164" fontId="5" fillId="0" borderId="0" applyAlignment="1" pivotButton="0" quotePrefix="0" xfId="0">
      <alignment vertical="center"/>
    </xf>
    <xf numFmtId="164" fontId="6" fillId="0" borderId="0" applyAlignment="1" pivotButton="0" quotePrefix="0" xfId="0">
      <alignment vertical="center"/>
    </xf>
    <xf numFmtId="165" fontId="5" fillId="0" borderId="0" applyAlignment="1" pivotButton="0" quotePrefix="0" xfId="0">
      <alignment vertical="center"/>
    </xf>
    <xf numFmtId="0" fontId="7" fillId="0" borderId="1" applyAlignment="1" pivotButton="0" quotePrefix="0" xfId="0">
      <alignment vertical="center"/>
    </xf>
    <xf numFmtId="0" fontId="8" fillId="0" borderId="0" applyAlignment="1" pivotButton="0" quotePrefix="0" xfId="0">
      <alignment vertical="center"/>
    </xf>
    <xf numFmtId="0" fontId="9" fillId="0" borderId="0" applyAlignment="1" pivotButton="0" quotePrefix="0" xfId="0">
      <alignment vertical="center"/>
    </xf>
    <xf numFmtId="0" fontId="10" fillId="0" borderId="0" applyAlignment="1" pivotButton="0" quotePrefix="0" xfId="0">
      <alignment vertical="center"/>
    </xf>
    <xf numFmtId="0" fontId="11" fillId="2" borderId="2" applyAlignment="1" pivotButton="0" quotePrefix="0" xfId="0">
      <alignment horizontal="center" vertical="center" wrapText="1"/>
    </xf>
    <xf numFmtId="0" fontId="7" fillId="0" borderId="3" applyAlignment="1" pivotButton="0" quotePrefix="0" xfId="0">
      <alignment horizontal="center" vertical="center"/>
    </xf>
    <xf numFmtId="0" fontId="7" fillId="0" borderId="3" applyAlignment="1" pivotButton="0" quotePrefix="0" xfId="0">
      <alignment vertical="center"/>
    </xf>
    <xf numFmtId="165" fontId="7" fillId="0" borderId="3" applyAlignment="1" pivotButton="0" quotePrefix="0" xfId="0">
      <alignment vertical="center"/>
    </xf>
    <xf numFmtId="9" fontId="7" fillId="0" borderId="3" applyAlignment="1" pivotButton="0" quotePrefix="0" xfId="0">
      <alignment vertical="center"/>
    </xf>
    <xf numFmtId="10" fontId="7" fillId="0" borderId="3" applyAlignment="1" pivotButton="0" quotePrefix="0" xfId="0">
      <alignment vertical="center"/>
    </xf>
    <xf numFmtId="164" fontId="7" fillId="0" borderId="3" applyAlignment="1" pivotButton="0" quotePrefix="0" xfId="0">
      <alignment vertical="center"/>
    </xf>
    <xf numFmtId="0" fontId="12" fillId="0" borderId="0" applyAlignment="1" pivotButton="0" quotePrefix="0" xfId="0">
      <alignment vertical="center"/>
    </xf>
    <xf numFmtId="166" fontId="7" fillId="0" borderId="0" applyAlignment="1" pivotButton="0" quotePrefix="0" xfId="0">
      <alignment vertical="center"/>
    </xf>
    <xf numFmtId="167" fontId="7" fillId="0" borderId="0" applyAlignment="1" pivotButton="0" quotePrefix="0" xfId="0">
      <alignment vertical="center"/>
    </xf>
    <xf numFmtId="0" fontId="13" fillId="0" borderId="0" applyAlignment="1" pivotButton="0" quotePrefix="0" xfId="0">
      <alignment vertical="center"/>
    </xf>
    <xf numFmtId="0" fontId="7" fillId="3" borderId="4" applyAlignment="1" pivotButton="0" quotePrefix="0" xfId="0">
      <alignment vertical="center"/>
    </xf>
    <xf numFmtId="0" fontId="14" fillId="0" borderId="0" applyAlignment="1" pivotButton="0" quotePrefix="0" xfId="0">
      <alignment vertical="center"/>
    </xf>
    <xf numFmtId="0" fontId="15" fillId="0" borderId="0" applyAlignment="1" pivotButton="0" quotePrefix="0" xfId="0">
      <alignment vertical="center"/>
    </xf>
    <xf numFmtId="0" fontId="14" fillId="3" borderId="4" applyAlignment="1" pivotButton="0" quotePrefix="0" xfId="0">
      <alignment horizontal="center" vertical="center"/>
    </xf>
    <xf numFmtId="167" fontId="7" fillId="0" borderId="3" applyAlignment="1" pivotButton="0" quotePrefix="0" xfId="0">
      <alignment vertical="center"/>
    </xf>
    <xf numFmtId="0" fontId="16" fillId="0" borderId="0" applyAlignment="1" pivotButton="0" quotePrefix="0" xfId="0">
      <alignment vertical="center"/>
    </xf>
    <xf numFmtId="0" fontId="15" fillId="0" borderId="5" applyAlignment="1" pivotButton="0" quotePrefix="0" xfId="0">
      <alignment vertical="center"/>
    </xf>
    <xf numFmtId="167" fontId="15" fillId="0" borderId="5" applyAlignment="1" pivotButton="0" quotePrefix="0" xfId="0">
      <alignment vertical="center"/>
    </xf>
    <xf numFmtId="0" fontId="17" fillId="0" borderId="0" applyAlignment="1" pivotButton="0" quotePrefix="0" xfId="0">
      <alignment vertical="center"/>
    </xf>
    <xf numFmtId="168" fontId="15" fillId="0" borderId="0" applyAlignment="1" pivotButton="0" quotePrefix="0" xfId="0">
      <alignment vertical="center"/>
    </xf>
    <xf numFmtId="165" fontId="7" fillId="0" borderId="0" applyAlignment="1" pivotButton="0" quotePrefix="0" xfId="0">
      <alignment vertical="center"/>
    </xf>
    <xf numFmtId="167" fontId="15" fillId="0" borderId="0" applyAlignment="1" pivotButton="0" quotePrefix="0" xfId="0">
      <alignment vertical="center"/>
    </xf>
    <xf numFmtId="0" fontId="18" fillId="0" borderId="0" applyAlignment="1" pivotButton="0" quotePrefix="0" xfId="0">
      <alignment vertical="center"/>
    </xf>
    <xf numFmtId="167" fontId="19" fillId="0" borderId="0" applyAlignment="1" pivotButton="0" quotePrefix="0" xfId="0">
      <alignment vertical="center"/>
    </xf>
    <xf numFmtId="165" fontId="15" fillId="0" borderId="0" applyAlignment="1" pivotButton="0" quotePrefix="0" xfId="0">
      <alignment vertical="center"/>
    </xf>
    <xf numFmtId="166" fontId="7" fillId="0" borderId="3" applyAlignment="1" pivotButton="0" quotePrefix="0" xfId="0">
      <alignment vertical="center"/>
    </xf>
    <xf numFmtId="164" fontId="14" fillId="0" borderId="0" applyAlignment="1" pivotButton="0" quotePrefix="0" xfId="0">
      <alignment vertical="center"/>
    </xf>
    <xf numFmtId="0" fontId="20" fillId="4" borderId="0" applyAlignment="1" pivotButton="0" quotePrefix="0" xfId="0">
      <alignment horizontal="center" vertical="center"/>
    </xf>
    <xf numFmtId="164" fontId="15" fillId="0" borderId="5" applyAlignment="1" pivotButton="0" quotePrefix="0" xfId="0">
      <alignment vertical="center"/>
    </xf>
    <xf numFmtId="166" fontId="14" fillId="0" borderId="0" applyAlignment="1" pivotButton="0" quotePrefix="0" xfId="0">
      <alignment vertical="center"/>
    </xf>
    <xf numFmtId="0" fontId="21" fillId="0" borderId="0" applyAlignment="1" pivotButton="0" quotePrefix="0" xfId="0">
      <alignment vertical="center"/>
    </xf>
    <xf numFmtId="164" fontId="22" fillId="0" borderId="6" applyAlignment="1" pivotButton="0" quotePrefix="0" xfId="0">
      <alignment vertical="center"/>
    </xf>
    <xf numFmtId="164" fontId="23" fillId="0" borderId="6" applyAlignment="1" pivotButton="0" quotePrefix="0" xfId="0">
      <alignment vertical="center"/>
    </xf>
    <xf numFmtId="164" fontId="14" fillId="0" borderId="7" applyAlignment="1" pivotButton="0" quotePrefix="0" xfId="0">
      <alignment vertical="center"/>
    </xf>
    <xf numFmtId="165" fontId="14" fillId="5" borderId="3" applyAlignment="1" pivotButton="0" quotePrefix="0" xfId="0">
      <alignment vertical="center"/>
    </xf>
    <xf numFmtId="164" fontId="19" fillId="0" borderId="0" applyAlignment="1" pivotButton="0" quotePrefix="0" xfId="0">
      <alignment vertical="center"/>
    </xf>
    <xf numFmtId="169" fontId="20" fillId="4" borderId="0" applyAlignment="1" pivotButton="0" quotePrefix="0" xfId="0">
      <alignment horizontal="center" vertical="center"/>
    </xf>
    <xf numFmtId="169" fontId="15" fillId="0" borderId="3" applyAlignment="1" pivotButton="0" quotePrefix="0" xfId="0">
      <alignment vertical="center"/>
    </xf>
    <xf numFmtId="0" fontId="4" fillId="6" borderId="8" applyAlignment="1" pivotButton="0" quotePrefix="0" xfId="0">
      <alignment horizontal="left" vertical="center" indent="1"/>
    </xf>
    <xf numFmtId="164" fontId="24" fillId="6" borderId="9" applyAlignment="1" pivotButton="0" quotePrefix="0" xfId="0">
      <alignment horizontal="left" vertical="center" indent="1"/>
    </xf>
    <xf numFmtId="164" fontId="25" fillId="6" borderId="9" applyAlignment="1" pivotButton="0" quotePrefix="0" xfId="0">
      <alignment horizontal="left" vertical="center" indent="1"/>
    </xf>
    <xf numFmtId="165" fontId="24" fillId="6" borderId="9" applyAlignment="1" pivotButton="0" quotePrefix="0" xfId="0">
      <alignment horizontal="left" vertical="center" indent="1"/>
    </xf>
    <xf numFmtId="0" fontId="26" fillId="6" borderId="10" applyAlignment="1" pivotButton="0" quotePrefix="0" xfId="0">
      <alignment horizontal="left" vertical="center" indent="1"/>
    </xf>
    <xf numFmtId="0" fontId="27" fillId="6" borderId="10" applyAlignment="1" pivotButton="0" quotePrefix="0" xfId="0">
      <alignment horizontal="left" vertical="center" indent="1"/>
    </xf>
    <xf numFmtId="164" fontId="7" fillId="0" borderId="0" applyAlignment="1" pivotButton="0" quotePrefix="0" xfId="0">
      <alignment vertical="center"/>
    </xf>
    <xf numFmtId="0" fontId="10" fillId="0" borderId="3" applyAlignment="1" pivotButton="0" quotePrefix="0" xfId="0">
      <alignment vertical="center" wrapText="1"/>
    </xf>
    <xf numFmtId="2" fontId="7" fillId="0" borderId="3" applyAlignment="1" pivotButton="0" quotePrefix="0" xfId="0">
      <alignment vertical="center"/>
    </xf>
    <xf numFmtId="170" fontId="7" fillId="0" borderId="3" applyAlignment="1" pivotButton="0" quotePrefix="0" xfId="0">
      <alignment vertical="center"/>
    </xf>
    <xf numFmtId="4" fontId="7" fillId="0" borderId="3" applyAlignment="1" pivotButton="0" quotePrefix="0" xfId="0">
      <alignment vertical="center"/>
    </xf>
    <xf numFmtId="164" fontId="17" fillId="0" borderId="0" applyAlignment="1" pivotButton="0" quotePrefix="0" xfId="0">
      <alignment vertical="center"/>
    </xf>
    <xf numFmtId="167" fontId="17" fillId="0" borderId="3" applyAlignment="1" pivotButton="0" quotePrefix="0" xfId="0">
      <alignment vertical="center"/>
    </xf>
    <xf numFmtId="167" fontId="14" fillId="0" borderId="3" applyAlignment="1" pivotButton="0" quotePrefix="0" xfId="0">
      <alignment vertical="center"/>
    </xf>
    <xf numFmtId="0" fontId="7" fillId="0" borderId="11" applyAlignment="1" pivotButton="0" quotePrefix="0" xfId="0">
      <alignment vertical="center"/>
    </xf>
    <xf numFmtId="167" fontId="15" fillId="0" borderId="11" applyAlignment="1" pivotButton="0" quotePrefix="0" xfId="0">
      <alignment vertical="center"/>
    </xf>
    <xf numFmtId="10" fontId="7" fillId="0" borderId="3" applyAlignment="1" pivotButton="0" quotePrefix="0" xfId="0">
      <alignment horizontal="center" vertical="center"/>
    </xf>
    <xf numFmtId="0" fontId="7" fillId="0" borderId="7" applyAlignment="1" pivotButton="0" quotePrefix="0" xfId="0">
      <alignment vertical="center"/>
    </xf>
    <xf numFmtId="0" fontId="28" fillId="0" borderId="0" applyAlignment="1" pivotButton="0" quotePrefix="0" xfId="0">
      <alignment vertical="center"/>
    </xf>
    <xf numFmtId="167" fontId="29" fillId="0" borderId="0" applyAlignment="1" pivotButton="0" quotePrefix="0" xfId="0">
      <alignment vertical="center"/>
    </xf>
    <xf numFmtId="167" fontId="30" fillId="0" borderId="0" applyAlignment="1" pivotButton="0" quotePrefix="0" xfId="0">
      <alignment vertical="center"/>
    </xf>
    <xf numFmtId="167" fontId="22" fillId="0" borderId="6" applyAlignment="1" pivotButton="0" quotePrefix="0" xfId="0">
      <alignment vertical="center"/>
    </xf>
    <xf numFmtId="167" fontId="14" fillId="0" borderId="7" applyAlignment="1" pivotButton="0" quotePrefix="0" xfId="0">
      <alignment vertical="center"/>
    </xf>
    <xf numFmtId="0" fontId="14" fillId="0" borderId="3" applyAlignment="1" pivotButton="0" quotePrefix="0" xfId="0">
      <alignment vertical="top"/>
    </xf>
    <xf numFmtId="0" fontId="7" fillId="0" borderId="3" applyAlignment="1" pivotButton="0" quotePrefix="0" xfId="0">
      <alignment vertical="top" wrapText="1"/>
    </xf>
    <xf numFmtId="0" fontId="41" fillId="0" borderId="0" pivotButton="0" quotePrefix="0" xfId="0"/>
    <xf numFmtId="0" fontId="64" fillId="0" borderId="0" pivotButton="0" quotePrefix="0" xfId="0"/>
    <xf numFmtId="0" fontId="35" fillId="0" borderId="0" pivotButton="0" quotePrefix="0" xfId="0"/>
    <xf numFmtId="0" fontId="65" fillId="7" borderId="13" applyAlignment="1" pivotButton="0" quotePrefix="0" xfId="0">
      <alignment horizontal="left" vertical="center" indent="1"/>
    </xf>
    <xf numFmtId="174" fontId="66" fillId="7" borderId="14" applyAlignment="1" pivotButton="0" quotePrefix="0" xfId="0">
      <alignment horizontal="left" vertical="center" indent="1"/>
    </xf>
    <xf numFmtId="174" fontId="67" fillId="7" borderId="14" applyAlignment="1" pivotButton="0" quotePrefix="0" xfId="0">
      <alignment horizontal="left" vertical="center" indent="1"/>
    </xf>
    <xf numFmtId="165" fontId="66" fillId="7" borderId="14" applyAlignment="1" pivotButton="0" quotePrefix="0" xfId="0">
      <alignment horizontal="left" vertical="center" indent="1"/>
    </xf>
    <xf numFmtId="0" fontId="35" fillId="7" borderId="15" applyAlignment="1" pivotButton="0" quotePrefix="0" xfId="0">
      <alignment horizontal="left" vertical="center" indent="1"/>
    </xf>
    <xf numFmtId="0" fontId="68" fillId="8" borderId="0" applyAlignment="1" pivotButton="0" quotePrefix="0" xfId="0">
      <alignment vertical="center" indent="1"/>
    </xf>
    <xf numFmtId="0" fontId="36" fillId="9" borderId="16" applyAlignment="1" pivotButton="0" quotePrefix="0" xfId="0">
      <alignment vertical="center" indent="1"/>
    </xf>
    <xf numFmtId="0" fontId="41" fillId="0" borderId="17" applyAlignment="1" pivotButton="0" quotePrefix="0" xfId="0">
      <alignment vertical="center" indent="1"/>
    </xf>
    <xf numFmtId="0" fontId="69" fillId="0" borderId="17" applyAlignment="1" pivotButton="0" quotePrefix="0" xfId="0">
      <alignment vertical="center" indent="1"/>
    </xf>
    <xf numFmtId="0" fontId="0" fillId="0" borderId="17" applyAlignment="1" pivotButton="0" quotePrefix="0" xfId="0">
      <alignment vertical="center" indent="1"/>
    </xf>
    <xf numFmtId="0" fontId="41" fillId="7" borderId="17" applyAlignment="1" pivotButton="0" quotePrefix="0" xfId="0">
      <alignment vertical="center" indent="1"/>
    </xf>
    <xf numFmtId="0" fontId="69" fillId="7" borderId="17" applyAlignment="1" pivotButton="0" quotePrefix="0" xfId="0">
      <alignment vertical="center" indent="1"/>
    </xf>
    <xf numFmtId="0" fontId="0" fillId="7" borderId="17" applyAlignment="1" pivotButton="0" quotePrefix="0" xfId="0">
      <alignment vertical="center" indent="1"/>
    </xf>
    <xf numFmtId="0" fontId="35" fillId="0" borderId="0" applyAlignment="1" pivotButton="0" quotePrefix="0" xfId="0">
      <alignment vertical="top" wrapText="1"/>
    </xf>
    <xf numFmtId="0" fontId="42" fillId="0" borderId="0" applyAlignment="1" pivotButton="0" quotePrefix="0" xfId="0">
      <alignment vertical="center"/>
    </xf>
    <xf numFmtId="0" fontId="43" fillId="2" borderId="2" applyAlignment="1" pivotButton="0" quotePrefix="0" xfId="0">
      <alignment horizontal="center" vertical="center" wrapText="1"/>
    </xf>
    <xf numFmtId="0" fontId="44" fillId="0" borderId="3" applyAlignment="1" pivotButton="0" quotePrefix="0" xfId="0">
      <alignment horizontal="center" vertical="center"/>
    </xf>
    <xf numFmtId="0" fontId="44" fillId="0" borderId="3" applyAlignment="1" pivotButton="0" quotePrefix="0" xfId="0">
      <alignment vertical="center"/>
    </xf>
    <xf numFmtId="0" fontId="44" fillId="0" borderId="3" applyAlignment="1" pivotButton="0" quotePrefix="0" xfId="0">
      <alignment horizontal="center"/>
    </xf>
    <xf numFmtId="165" fontId="44" fillId="0" borderId="3" applyAlignment="1" pivotButton="0" quotePrefix="0" xfId="0">
      <alignment vertical="center"/>
    </xf>
    <xf numFmtId="9" fontId="44" fillId="0" borderId="3" applyAlignment="1" pivotButton="0" quotePrefix="0" xfId="0">
      <alignment vertical="center"/>
    </xf>
    <xf numFmtId="10" fontId="44" fillId="0" borderId="3" applyAlignment="1" pivotButton="0" quotePrefix="0" xfId="0">
      <alignment vertical="center"/>
    </xf>
    <xf numFmtId="174" fontId="44" fillId="0" borderId="3" applyAlignment="1" pivotButton="0" quotePrefix="0" xfId="0">
      <alignment vertical="center"/>
    </xf>
    <xf numFmtId="171" fontId="44" fillId="0" borderId="3" applyAlignment="1" pivotButton="0" quotePrefix="0" xfId="0">
      <alignment vertical="center"/>
    </xf>
    <xf numFmtId="0" fontId="31" fillId="0" borderId="0" pivotButton="0" quotePrefix="0" xfId="0"/>
    <xf numFmtId="0" fontId="31" fillId="0" borderId="0" applyAlignment="1" pivotButton="0" quotePrefix="0" xfId="0">
      <alignment vertical="top" wrapText="1"/>
    </xf>
    <xf numFmtId="175" fontId="44" fillId="0" borderId="0" applyAlignment="1" pivotButton="0" quotePrefix="0" xfId="0">
      <alignment horizontal="left"/>
    </xf>
    <xf numFmtId="0" fontId="44" fillId="0" borderId="0" pivotButton="0" quotePrefix="0" xfId="0"/>
    <xf numFmtId="0" fontId="44" fillId="0" borderId="0" applyAlignment="1" pivotButton="0" quotePrefix="0" xfId="0">
      <alignment horizontal="center"/>
    </xf>
    <xf numFmtId="173" fontId="44" fillId="0" borderId="0" applyAlignment="1" pivotButton="0" quotePrefix="0" xfId="0">
      <alignment vertical="center"/>
    </xf>
    <xf numFmtId="165" fontId="44" fillId="0" borderId="3" applyAlignment="1" pivotButton="0" quotePrefix="0" xfId="0">
      <alignment horizontal="center"/>
    </xf>
    <xf numFmtId="0" fontId="45" fillId="0" borderId="0" applyAlignment="1" pivotButton="0" quotePrefix="0" xfId="0">
      <alignment vertical="center"/>
    </xf>
    <xf numFmtId="0" fontId="46" fillId="0" borderId="6" applyAlignment="1" pivotButton="0" quotePrefix="0" xfId="0">
      <alignment vertical="top" wrapText="1"/>
    </xf>
    <xf numFmtId="0" fontId="47" fillId="0" borderId="0" applyAlignment="1" pivotButton="0" quotePrefix="0" xfId="0">
      <alignment vertical="center"/>
    </xf>
    <xf numFmtId="0" fontId="44" fillId="3" borderId="4" applyAlignment="1" pivotButton="0" quotePrefix="0" xfId="0">
      <alignment vertical="center"/>
    </xf>
    <xf numFmtId="0" fontId="48" fillId="0" borderId="0" applyAlignment="1" pivotButton="0" quotePrefix="0" xfId="0">
      <alignment vertical="center"/>
    </xf>
    <xf numFmtId="0" fontId="49" fillId="0" borderId="0" applyAlignment="1" pivotButton="0" quotePrefix="0" xfId="0">
      <alignment vertical="center"/>
    </xf>
    <xf numFmtId="0" fontId="46" fillId="0" borderId="0" applyAlignment="1" pivotButton="0" quotePrefix="0" xfId="0">
      <alignment vertical="center"/>
    </xf>
    <xf numFmtId="0" fontId="50" fillId="0" borderId="0" applyAlignment="1" pivotButton="0" quotePrefix="0" xfId="0">
      <alignment vertical="center"/>
    </xf>
    <xf numFmtId="0" fontId="48" fillId="3" borderId="4" applyAlignment="1" pivotButton="0" quotePrefix="0" xfId="0">
      <alignment horizontal="center" vertical="center"/>
    </xf>
    <xf numFmtId="173" fontId="44" fillId="0" borderId="3" applyAlignment="1" pivotButton="0" quotePrefix="0" xfId="0">
      <alignment vertical="center"/>
    </xf>
    <xf numFmtId="0" fontId="51" fillId="0" borderId="0" applyAlignment="1" pivotButton="0" quotePrefix="0" xfId="0">
      <alignment vertical="center"/>
    </xf>
    <xf numFmtId="0" fontId="50" fillId="0" borderId="5" applyAlignment="1" pivotButton="0" quotePrefix="0" xfId="0">
      <alignment vertical="center"/>
    </xf>
    <xf numFmtId="173" fontId="50" fillId="0" borderId="5" applyAlignment="1" pivotButton="0" quotePrefix="0" xfId="0">
      <alignment vertical="center"/>
    </xf>
    <xf numFmtId="0" fontId="52" fillId="0" borderId="0" applyAlignment="1" pivotButton="0" quotePrefix="0" xfId="0">
      <alignment vertical="center"/>
    </xf>
    <xf numFmtId="168" fontId="50" fillId="0" borderId="0" applyAlignment="1" pivotButton="0" quotePrefix="0" xfId="0">
      <alignment vertical="center"/>
    </xf>
    <xf numFmtId="165" fontId="44" fillId="0" borderId="0" applyAlignment="1" pivotButton="0" quotePrefix="0" xfId="0">
      <alignment vertical="center"/>
    </xf>
    <xf numFmtId="173" fontId="50" fillId="0" borderId="0" applyAlignment="1" pivotButton="0" quotePrefix="0" xfId="0">
      <alignment vertical="center"/>
    </xf>
    <xf numFmtId="0" fontId="53" fillId="0" borderId="0" applyAlignment="1" pivotButton="0" quotePrefix="0" xfId="0">
      <alignment vertical="center"/>
    </xf>
    <xf numFmtId="173" fontId="54" fillId="0" borderId="0" applyAlignment="1" pivotButton="0" quotePrefix="0" xfId="0">
      <alignment vertical="center"/>
    </xf>
    <xf numFmtId="165" fontId="50" fillId="0" borderId="0" applyAlignment="1" pivotButton="0" quotePrefix="0" xfId="0">
      <alignment vertical="center"/>
    </xf>
    <xf numFmtId="175" fontId="44" fillId="0" borderId="3" applyAlignment="1" pivotButton="0" quotePrefix="0" xfId="0">
      <alignment vertical="center"/>
    </xf>
    <xf numFmtId="165" fontId="33" fillId="0" borderId="3" applyAlignment="1" pivotButton="0" quotePrefix="0" xfId="0">
      <alignment vertical="center"/>
    </xf>
    <xf numFmtId="0" fontId="50" fillId="0" borderId="5" applyAlignment="1" pivotButton="0" quotePrefix="0" xfId="0">
      <alignment horizontal="right"/>
    </xf>
    <xf numFmtId="0" fontId="31" fillId="0" borderId="6" applyAlignment="1" pivotButton="0" quotePrefix="0" xfId="0">
      <alignment vertical="top" wrapText="1"/>
    </xf>
    <xf numFmtId="174" fontId="48" fillId="0" borderId="0" applyAlignment="1" pivotButton="0" quotePrefix="0" xfId="0">
      <alignment vertical="center"/>
    </xf>
    <xf numFmtId="0" fontId="43" fillId="4" borderId="0" applyAlignment="1" pivotButton="0" quotePrefix="0" xfId="0">
      <alignment horizontal="center" vertical="center"/>
    </xf>
    <xf numFmtId="174" fontId="50" fillId="0" borderId="5" applyAlignment="1" pivotButton="0" quotePrefix="0" xfId="0">
      <alignment vertical="center"/>
    </xf>
    <xf numFmtId="0" fontId="34" fillId="0" borderId="0" pivotButton="0" quotePrefix="0" xfId="0"/>
    <xf numFmtId="10" fontId="48" fillId="5" borderId="3" applyAlignment="1" pivotButton="0" quotePrefix="0" xfId="0">
      <alignment vertical="center"/>
    </xf>
    <xf numFmtId="1" fontId="48" fillId="5" borderId="3" applyAlignment="1" pivotButton="0" quotePrefix="0" xfId="0">
      <alignment vertical="center"/>
    </xf>
    <xf numFmtId="173" fontId="55" fillId="0" borderId="0" applyAlignment="1" pivotButton="0" quotePrefix="0" xfId="0">
      <alignment vertical="center"/>
    </xf>
    <xf numFmtId="1" fontId="44" fillId="0" borderId="3" applyAlignment="1" pivotButton="0" quotePrefix="0" xfId="0">
      <alignment horizontal="center"/>
    </xf>
    <xf numFmtId="0" fontId="32" fillId="0" borderId="0" pivotButton="0" quotePrefix="0" xfId="0"/>
    <xf numFmtId="175" fontId="48" fillId="0" borderId="0" applyAlignment="1" pivotButton="0" quotePrefix="0" xfId="0">
      <alignment vertical="center"/>
    </xf>
    <xf numFmtId="0" fontId="44" fillId="0" borderId="0" applyAlignment="1" pivotButton="0" quotePrefix="0" xfId="0">
      <alignment vertical="center"/>
    </xf>
    <xf numFmtId="174" fontId="56" fillId="0" borderId="6" applyAlignment="1" pivotButton="0" quotePrefix="0" xfId="0">
      <alignment vertical="center"/>
    </xf>
    <xf numFmtId="174" fontId="57" fillId="0" borderId="6" applyAlignment="1" pivotButton="0" quotePrefix="0" xfId="0">
      <alignment vertical="center"/>
    </xf>
    <xf numFmtId="174" fontId="48" fillId="0" borderId="7" applyAlignment="1" pivotButton="0" quotePrefix="0" xfId="0">
      <alignment vertical="center"/>
    </xf>
    <xf numFmtId="165" fontId="48" fillId="5" borderId="3" applyAlignment="1" pivotButton="0" quotePrefix="0" xfId="0">
      <alignment vertical="center"/>
    </xf>
    <xf numFmtId="174" fontId="54" fillId="0" borderId="0" applyAlignment="1" pivotButton="0" quotePrefix="0" xfId="0">
      <alignment vertical="center"/>
    </xf>
    <xf numFmtId="169" fontId="43" fillId="4" borderId="0" applyAlignment="1" pivotButton="0" quotePrefix="0" xfId="0">
      <alignment horizontal="center" vertical="center"/>
    </xf>
    <xf numFmtId="169" fontId="50" fillId="0" borderId="3" applyAlignment="1" pivotButton="0" quotePrefix="0" xfId="0">
      <alignment vertical="center"/>
    </xf>
    <xf numFmtId="0" fontId="51" fillId="6" borderId="8" applyAlignment="1" pivotButton="0" quotePrefix="0" xfId="0">
      <alignment horizontal="left" vertical="center" indent="1"/>
    </xf>
    <xf numFmtId="174" fontId="58" fillId="6" borderId="9" applyAlignment="1" pivotButton="0" quotePrefix="0" xfId="0">
      <alignment horizontal="left" vertical="center" indent="1"/>
    </xf>
    <xf numFmtId="174" fontId="59" fillId="6" borderId="9" applyAlignment="1" pivotButton="0" quotePrefix="0" xfId="0">
      <alignment horizontal="left" vertical="center" indent="1"/>
    </xf>
    <xf numFmtId="165" fontId="58" fillId="6" borderId="9" applyAlignment="1" pivotButton="0" quotePrefix="0" xfId="0">
      <alignment horizontal="left" vertical="center" indent="1"/>
    </xf>
    <xf numFmtId="0" fontId="60" fillId="6" borderId="10" applyAlignment="1" pivotButton="0" quotePrefix="0" xfId="0">
      <alignment horizontal="left" vertical="center" indent="1"/>
    </xf>
    <xf numFmtId="0" fontId="46" fillId="6" borderId="10" applyAlignment="1" pivotButton="0" quotePrefix="0" xfId="0">
      <alignment horizontal="left" vertical="center" indent="1"/>
    </xf>
    <xf numFmtId="174" fontId="44" fillId="0" borderId="0" applyAlignment="1" pivotButton="0" quotePrefix="0" xfId="0">
      <alignment vertical="center"/>
    </xf>
    <xf numFmtId="0" fontId="46" fillId="0" borderId="3" applyAlignment="1" pivotButton="0" quotePrefix="0" xfId="0">
      <alignment horizontal="left" vertical="center" wrapText="1" indent="1"/>
    </xf>
    <xf numFmtId="2" fontId="44" fillId="0" borderId="3" applyAlignment="1" pivotButton="0" quotePrefix="0" xfId="0">
      <alignment vertical="center"/>
    </xf>
    <xf numFmtId="170" fontId="44" fillId="0" borderId="3" applyAlignment="1" pivotButton="0" quotePrefix="0" xfId="0">
      <alignment vertical="center"/>
    </xf>
    <xf numFmtId="4" fontId="44" fillId="0" borderId="3" applyAlignment="1" pivotButton="0" quotePrefix="0" xfId="0">
      <alignment vertical="center"/>
    </xf>
    <xf numFmtId="174" fontId="52" fillId="0" borderId="0" applyAlignment="1" pivotButton="0" quotePrefix="0" xfId="0">
      <alignment vertical="center"/>
    </xf>
    <xf numFmtId="0" fontId="44" fillId="0" borderId="3" applyAlignment="1" pivotButton="0" quotePrefix="0" xfId="0">
      <alignment horizontal="left"/>
    </xf>
    <xf numFmtId="0" fontId="33" fillId="0" borderId="3" applyAlignment="1" pivotButton="0" quotePrefix="0" xfId="0">
      <alignment horizontal="center" vertical="center"/>
    </xf>
    <xf numFmtId="9" fontId="33" fillId="0" borderId="3" applyAlignment="1" pivotButton="0" quotePrefix="0" xfId="0">
      <alignment vertical="center"/>
    </xf>
    <xf numFmtId="173" fontId="33" fillId="0" borderId="3" applyAlignment="1" pivotButton="0" quotePrefix="0" xfId="0">
      <alignment vertical="center"/>
    </xf>
    <xf numFmtId="173" fontId="48" fillId="0" borderId="3" applyAlignment="1" pivotButton="0" quotePrefix="0" xfId="0">
      <alignment vertical="center"/>
    </xf>
    <xf numFmtId="9" fontId="44" fillId="0" borderId="0" pivotButton="0" quotePrefix="0" xfId="0"/>
    <xf numFmtId="0" fontId="44" fillId="0" borderId="11" applyAlignment="1" pivotButton="0" quotePrefix="0" xfId="0">
      <alignment vertical="center"/>
    </xf>
    <xf numFmtId="173" fontId="50" fillId="0" borderId="11" applyAlignment="1" pivotButton="0" quotePrefix="0" xfId="0">
      <alignment vertical="center"/>
    </xf>
    <xf numFmtId="10" fontId="44" fillId="0" borderId="3" applyAlignment="1" pivotButton="0" quotePrefix="0" xfId="0">
      <alignment horizontal="center" vertical="center"/>
    </xf>
    <xf numFmtId="0" fontId="44" fillId="0" borderId="7" applyAlignment="1" pivotButton="0" quotePrefix="0" xfId="0">
      <alignment vertical="center"/>
    </xf>
    <xf numFmtId="0" fontId="61" fillId="0" borderId="0" applyAlignment="1" pivotButton="0" quotePrefix="0" xfId="0">
      <alignment vertical="center"/>
    </xf>
    <xf numFmtId="173" fontId="62" fillId="0" borderId="0" applyAlignment="1" pivotButton="0" quotePrefix="0" xfId="0">
      <alignment vertical="center"/>
    </xf>
    <xf numFmtId="10" fontId="55" fillId="0" borderId="0" applyAlignment="1" pivotButton="0" quotePrefix="0" xfId="0">
      <alignment vertical="center"/>
    </xf>
    <xf numFmtId="173" fontId="56" fillId="0" borderId="6" applyAlignment="1" pivotButton="0" quotePrefix="0" xfId="0">
      <alignment vertical="center"/>
    </xf>
    <xf numFmtId="173" fontId="48" fillId="0" borderId="7" applyAlignment="1" pivotButton="0" quotePrefix="0" xfId="0">
      <alignment vertical="center"/>
    </xf>
    <xf numFmtId="0" fontId="37" fillId="0" borderId="12" applyAlignment="1" pivotButton="0" quotePrefix="0" xfId="0">
      <alignment horizontal="center" vertical="center"/>
    </xf>
    <xf numFmtId="0" fontId="37" fillId="0" borderId="12" applyAlignment="1" pivotButton="0" quotePrefix="0" xfId="0">
      <alignment vertical="center"/>
    </xf>
    <xf numFmtId="173" fontId="37" fillId="0" borderId="12" applyAlignment="1" pivotButton="0" quotePrefix="0" xfId="0">
      <alignment vertical="center"/>
    </xf>
    <xf numFmtId="0" fontId="38" fillId="0" borderId="12" applyAlignment="1" pivotButton="0" quotePrefix="0" xfId="0">
      <alignment horizontal="center" vertical="center"/>
    </xf>
    <xf numFmtId="1" fontId="37" fillId="0" borderId="12" applyAlignment="1" pivotButton="0" quotePrefix="0" xfId="0">
      <alignment vertical="center"/>
    </xf>
    <xf numFmtId="0" fontId="63" fillId="0" borderId="0" applyAlignment="1" pivotButton="0" quotePrefix="0" xfId="0">
      <alignment horizontal="center"/>
    </xf>
    <xf numFmtId="0" fontId="48" fillId="0" borderId="3" applyAlignment="1" pivotButton="0" quotePrefix="0" xfId="0">
      <alignment vertical="top"/>
    </xf>
    <xf numFmtId="0" fontId="44" fillId="0" borderId="3" applyAlignment="1" pivotButton="0" quotePrefix="0" xfId="0">
      <alignment vertical="top" wrapText="1"/>
    </xf>
  </cellXfs>
  <cellStyles count="1">
    <cellStyle name="Normal" xfId="0" builtinId="0"/>
  </cellStyles>
  <dxfs count="8">
    <dxf>
      <font>
        <name val="Arial"/>
        <b val="1"/>
        <color rgb="FFDC2626"/>
      </font>
    </dxf>
    <dxf>
      <font>
        <name val="Arial"/>
        <color rgb="FF059669"/>
      </font>
    </dxf>
    <dxf>
      <font>
        <name val="Arial"/>
        <color rgb="FFDC2626"/>
      </font>
    </dxf>
    <dxf>
      <font>
        <name val="Arial"/>
        <b val="1"/>
        <color rgb="00DC2626"/>
      </font>
      <fill>
        <patternFill patternType="solid">
          <fgColor rgb="00FEE2E2"/>
        </patternFill>
      </fill>
    </dxf>
    <dxf>
      <font>
        <name val="Arial"/>
        <b val="1"/>
        <color rgb="00059669"/>
      </font>
    </dxf>
    <dxf>
      <font>
        <b/>
        <color rgb="FFFFFFFF"/>
      </font>
      <fill>
        <patternFill patternType="solid">
          <fgColor rgb="FF0F172A"/>
          <bgColor rgb="FF0F172A"/>
        </patternFill>
      </fill>
    </dxf>
    <dxf>
      <fill>
        <patternFill patternType="solid">
          <fgColor rgb="FFF1F5F9"/>
          <bgColor rgb="FFF1F5F9"/>
        </patternFill>
      </fill>
    </dxf>
    <dxf>
      <border>
        <left style="thin">
          <color rgb="FFE2E8F0"/>
        </left>
        <right style="thin">
          <color rgb="FFE2E8F0"/>
        </right>
        <top style="thin">
          <color rgb="FFE2E8F0"/>
        </top>
        <bottom style="thin">
          <color rgb="FFE2E8F0"/>
        </bottom>
        <horizontal style="thin">
          <color rgb="FFE2E8F0"/>
        </horizontal>
      </border>
    </dxf>
  </dxfs>
  <tableStyles count="1" defaultTableStyle="ArceusNavy" defaultPivotStyle="PivotStyleLight16">
    <tableStyle name="ArceusNavy" pivot="0" count="3">
      <tableStyleElement type="wholeTable" dxfId="7"/>
      <tableStyleElement type="headerRow" dxfId="5"/>
      <tableStyleElement type="firstRowStripe" dxfId="6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worksheet" Target="/xl/worksheets/sheet24.xml" Id="rId24"/><Relationship Type="http://schemas.openxmlformats.org/officeDocument/2006/relationships/worksheet" Target="/xl/worksheets/sheet25.xml" Id="rId25"/><Relationship Type="http://schemas.openxmlformats.org/officeDocument/2006/relationships/worksheet" Target="/xl/worksheets/sheet26.xml" Id="rId26"/><Relationship Type="http://schemas.openxmlformats.org/officeDocument/2006/relationships/styles" Target="styles.xml" Id="rId27"/><Relationship Type="http://schemas.openxmlformats.org/officeDocument/2006/relationships/theme" Target="theme/theme1.xml" Id="rId28"/><Relationship Id="rIdMeta1" Type="http://schemas.openxmlformats.org/officeDocument/2006/relationships/sheetMetadata" Target="metadata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  <a:latin typeface="Arial"/>
              </a:defRPr>
            </a:pPr>
            <a:r>
              <a:rPr lang="en-US"/>
              <a:t>Dotation d'amortissement par année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ser>
          <c:idx val="0"/>
          <c:order val="0"/>
          <c:tx>
            <c:v>Dotation</c:v>
          </c:tx>
          <c:spPr>
            <a:solidFill>
              <a:srgbClr val="2563EB"/>
            </a:solidFill>
          </c:spPr>
          <c:cat>
            <c:numRef>
              <c:f>'Immobilisations'!$B$15:$G$15</c:f>
              <c:numCache>
                <c:formatCode>General</c:formatCode>
                <c:ptCount val="6"/>
                <c:pt idx="0">
                  <c:v>2025</c:v>
                </c:pt>
                <c:pt idx="1">
                  <c:v>2026</c:v>
                </c:pt>
                <c:pt idx="2">
                  <c:v>2027</c:v>
                </c:pt>
                <c:pt idx="3">
                  <c:v>2028</c:v>
                </c:pt>
                <c:pt idx="4">
                  <c:v>2029</c:v>
                </c:pt>
                <c:pt idx="5">
                  <c:v>2030</c:v>
                </c:pt>
              </c:numCache>
            </c:numRef>
          </c:cat>
          <c:val>
            <c:numRef>
              <c:f>'Immobilisations'!$B$19:$G$19</c:f>
              <c:numCache>
                <c:formatCode>General</c:formatCode>
                <c:ptCount val="6"/>
                <c:pt idx="0">
                  <c:v>12400.0</c:v>
                </c:pt>
                <c:pt idx="1">
                  <c:v>12400.0</c:v>
                </c:pt>
                <c:pt idx="2">
                  <c:v>12400.0</c:v>
                </c:pt>
                <c:pt idx="3">
                  <c:v>12400.0</c:v>
                </c:pt>
                <c:pt idx="4">
                  <c:v>12400.0</c:v>
                </c:pt>
                <c:pt idx="5">
                  <c:v>0.0</c:v>
                </c:pt>
              </c:numCache>
            </c:numRef>
          </c:val>
        </c:ser>
        <c:dLbls>
          <c:numFmt formatCode="#,##0" sourceLinked="0"/>
          <c:spPr>
            <a:noFill/>
            <a:ln>
              <a:noFill/>
            </a:ln>
          </c:spPr>
          <c:txPr>
            <a:bodyPr/>
            <a:lstStyle/>
            <a:p>
              <a:pPr>
                <a:defRPr sz="800" b="0">
                  <a:solidFill>
                    <a:srgbClr val="334155"/>
                  </a:solidFill>
                  <a:latin typeface="Arial"/>
                </a:defRPr>
              </a:pPr>
              <a:endParaRPr lang="fr-CH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50010001"/>
        <c:axId val="50010002"/>
      </c:barChart>
      <c:catAx>
        <c:axId val="50010001"/>
        <c:scaling>
          <c:orientation val="minMax"/>
        </c:scaling>
        <c:axPos val="b"/>
        <c:numFmt formatCode="General" sourceLinked="1"/>
        <c:majorTickMark val="none"/>
        <c:tickLblPos val="low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10001"/>
        <c:crosses val="autoZero"/>
        <c:crossBetween val="between"/>
      </c:valAx>
    </c:plotArea>
    <c:plotVisOnly val="1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1000" b="0">
          <a:solidFill>
            <a:srgbClr val="334155"/>
          </a:solidFill>
          <a:latin typeface="Arial"/>
        </a:defRPr>
      </a:pPr>
      <a:endParaRPr lang="fr-CH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  <a:latin typeface="Arial"/>
              </a:defRPr>
            </a:pPr>
            <a:r>
              <a:rPr lang="en-US"/>
              <a:t>Encours clients par ancienneté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ser>
          <c:idx val="0"/>
          <c:order val="0"/>
          <c:tx>
            <c:v>Créances</c:v>
          </c:tx>
          <c:spPr>
            <a:solidFill>
              <a:srgbClr val="2563EB"/>
            </a:solidFill>
          </c:spPr>
          <c:cat>
            <c:strRef>
              <c:f>'Débiteurs'!$I$6:$I$10</c:f>
              <c:strCache>
                <c:ptCount val="5"/>
                <c:pt idx="0">
                  <c:v>Non échu</c:v>
                </c:pt>
                <c:pt idx="1">
                  <c:v>1–30 j</c:v>
                </c:pt>
                <c:pt idx="2">
                  <c:v>31–60 j</c:v>
                </c:pt>
                <c:pt idx="3">
                  <c:v>61–90 j</c:v>
                </c:pt>
                <c:pt idx="4">
                  <c:v>&gt; 90 j</c:v>
                </c:pt>
              </c:strCache>
            </c:strRef>
          </c:cat>
          <c:val>
            <c:numRef>
              <c:f>'Débiteurs'!$J$6:$J$10</c:f>
              <c:numCache>
                <c:formatCode>General</c:formatCode>
                <c:ptCount val="5"/>
                <c:pt idx="0">
                  <c:v>14000.0</c:v>
                </c:pt>
                <c:pt idx="1">
                  <c:v>7300.0</c:v>
                </c:pt>
                <c:pt idx="2">
                  <c:v>4630.0</c:v>
                </c:pt>
                <c:pt idx="3">
                  <c:v>1500.0</c:v>
                </c:pt>
                <c:pt idx="4">
                  <c:v>4670.0</c:v>
                </c:pt>
              </c:numCache>
            </c:numRef>
          </c:val>
        </c:ser>
        <c:dLbls>
          <c:numFmt formatCode="#,##0" sourceLinked="0"/>
          <c:spPr>
            <a:noFill/>
            <a:ln>
              <a:noFill/>
            </a:ln>
          </c:spPr>
          <c:txPr>
            <a:bodyPr/>
            <a:lstStyle/>
            <a:p>
              <a:pPr>
                <a:defRPr sz="800" b="0">
                  <a:solidFill>
                    <a:srgbClr val="334155"/>
                  </a:solidFill>
                  <a:latin typeface="Arial"/>
                </a:defRPr>
              </a:pPr>
              <a:endParaRPr lang="fr-CH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50020001"/>
        <c:axId val="50020002"/>
      </c:barChart>
      <c:catAx>
        <c:axId val="50020001"/>
        <c:scaling>
          <c:orientation val="minMax"/>
        </c:scaling>
        <c:axPos val="l"/>
        <c:majorTickMark val="none"/>
        <c:tickLblPos val="low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20002"/>
        <c:crosses val="autoZero"/>
        <c:auto val="1"/>
        <c:lblAlgn val="ctr"/>
        <c:lblOffset val="100"/>
      </c:catAx>
      <c:valAx>
        <c:axId val="50020002"/>
        <c:scaling>
          <c:orientation val="minMax"/>
        </c:scaling>
        <c:axPos val="b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20001"/>
        <c:crosses val="autoZero"/>
        <c:crossBetween val="between"/>
      </c:valAx>
    </c:plotArea>
    <c:plotVisOnly val="1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1000" b="0">
          <a:solidFill>
            <a:srgbClr val="334155"/>
          </a:solidFill>
          <a:latin typeface="Arial"/>
        </a:defRPr>
      </a:pPr>
      <a:endParaRPr lang="fr-CH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  <a:latin typeface="Arial"/>
              </a:defRPr>
            </a:pPr>
            <a:r>
              <a:rPr lang="en-US"/>
              <a:t>Produits &amp; charges (avec N-1)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v>Produits</c:v>
          </c:tx>
          <c:spPr>
            <a:ln w="28575">
              <a:solidFill>
                <a:srgbClr val="2563EB"/>
              </a:solidFill>
            </a:ln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334155"/>
                    </a:solidFill>
                    <a:latin typeface="Arial"/>
                  </a:defRPr>
                </a:pPr>
                <a:endParaRPr lang="fr-CH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strRef>
              <c:f>'Tableau de bord'!$H$8:$H$19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'Tableau de bord'!$I$8:$I$19</c:f>
              <c:numCache>
                <c:formatCode>General</c:formatCode>
                <c:ptCount val="12"/>
                <c:pt idx="0">
                  <c:v>14000.0</c:v>
                </c:pt>
                <c:pt idx="1">
                  <c:v>15000.0</c:v>
                </c:pt>
                <c:pt idx="2">
                  <c:v>15600.0</c:v>
                </c:pt>
                <c:pt idx="3">
                  <c:v>17500.0</c:v>
                </c:pt>
                <c:pt idx="4">
                  <c:v>18900.0</c:v>
                </c:pt>
                <c:pt idx="5">
                  <c:v>20300.0</c:v>
                </c:pt>
                <c:pt idx="6">
                  <c:v>11800.0</c:v>
                </c:pt>
                <c:pt idx="7">
                  <c:v>10200.0</c:v>
                </c:pt>
                <c:pt idx="8">
                  <c:v>20800.0</c:v>
                </c:pt>
                <c:pt idx="9">
                  <c:v>22500.0</c:v>
                </c:pt>
                <c:pt idx="10">
                  <c:v>21500.0</c:v>
                </c:pt>
                <c:pt idx="11">
                  <c:v>25900.0</c:v>
                </c:pt>
              </c:numCache>
            </c:numRef>
          </c:val>
          <c:smooth val="0"/>
        </c:ser>
        <c:ser>
          <c:idx val="1"/>
          <c:order val="1"/>
          <c:tx>
            <c:v>Charges</c:v>
          </c:tx>
          <c:spPr>
            <a:ln w="28575">
              <a:solidFill>
                <a:srgbClr val="94A3B8"/>
              </a:solidFill>
            </a:ln>
          </c:spPr>
          <c:marker>
            <c:symbol val="none"/>
          </c:marker>
          <c:val>
            <c:numRef>
              <c:f>'Tableau de bord'!$J$8:$J$19</c:f>
              <c:numCache>
                <c:formatCode>General</c:formatCode>
                <c:ptCount val="12"/>
                <c:pt idx="0">
                  <c:v>15500.0</c:v>
                </c:pt>
                <c:pt idx="1">
                  <c:v>15640.0</c:v>
                </c:pt>
                <c:pt idx="2">
                  <c:v>15510.0</c:v>
                </c:pt>
                <c:pt idx="3">
                  <c:v>15540.0</c:v>
                </c:pt>
                <c:pt idx="4">
                  <c:v>17050.0</c:v>
                </c:pt>
                <c:pt idx="5">
                  <c:v>16300.0</c:v>
                </c:pt>
                <c:pt idx="6">
                  <c:v>14470.0</c:v>
                </c:pt>
                <c:pt idx="7">
                  <c:v>13980.0</c:v>
                </c:pt>
                <c:pt idx="8">
                  <c:v>17580.0</c:v>
                </c:pt>
                <c:pt idx="9">
                  <c:v>16790.0</c:v>
                </c:pt>
                <c:pt idx="10">
                  <c:v>17390.0</c:v>
                </c:pt>
                <c:pt idx="11">
                  <c:v>31450.0</c:v>
                </c:pt>
              </c:numCache>
            </c:numRef>
          </c:val>
          <c:smooth val="0"/>
        </c:ser>
        <c:ser>
          <c:idx val="2"/>
          <c:order val="2"/>
          <c:tx>
            <c:v>Produits N-1</c:v>
          </c:tx>
          <c:spPr>
            <a:ln w="19050">
              <a:solidFill>
                <a:srgbClr val="CBD5E1"/>
              </a:solidFill>
              <a:prstDash val="dash"/>
            </a:ln>
          </c:spPr>
          <c:marker>
            <c:symbol val="none"/>
          </c:marker>
          <c:val>
            <c:numRef>
              <c:f>'Tableau de bord'!$L$8:$L$19</c:f>
              <c:numCache>
                <c:formatCode>General</c:formatCode>
                <c:ptCount val="12"/>
                <c:pt idx="0">
                  <c:v>12320</c:v>
                </c:pt>
                <c:pt idx="1">
                  <c:v>13200</c:v>
                </c:pt>
                <c:pt idx="2">
                  <c:v>13728</c:v>
                </c:pt>
                <c:pt idx="3">
                  <c:v>15400</c:v>
                </c:pt>
                <c:pt idx="4">
                  <c:v>16632</c:v>
                </c:pt>
                <c:pt idx="5">
                  <c:v>17864</c:v>
                </c:pt>
                <c:pt idx="6">
                  <c:v>10384</c:v>
                </c:pt>
                <c:pt idx="7">
                  <c:v>8976</c:v>
                </c:pt>
                <c:pt idx="8">
                  <c:v>18304</c:v>
                </c:pt>
                <c:pt idx="9">
                  <c:v>19800</c:v>
                </c:pt>
                <c:pt idx="10">
                  <c:v>18920</c:v>
                </c:pt>
                <c:pt idx="11">
                  <c:v>22792</c:v>
                </c:pt>
              </c:numCache>
            </c:numRef>
          </c:val>
          <c:smooth val="0"/>
        </c:ser>
        <c:marker val="1"/>
        <c:axId val="50030001"/>
        <c:axId val="50030002"/>
      </c:lineChart>
      <c:catAx>
        <c:axId val="50030001"/>
        <c:scaling>
          <c:orientation val="minMax"/>
        </c:scaling>
        <c:axPos val="b"/>
        <c:majorTickMark val="none"/>
        <c:tickLblPos val="low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30002"/>
        <c:crosses val="autoZero"/>
        <c:auto val="1"/>
        <c:lblAlgn val="ctr"/>
        <c:lblOffset val="100"/>
      </c:catAx>
      <c:valAx>
        <c:axId val="50030002"/>
        <c:scaling>
          <c:orientation val="minMax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30001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900" b="0">
              <a:solidFill>
                <a:srgbClr val="64748B"/>
              </a:solidFill>
              <a:latin typeface="Arial"/>
            </a:defRPr>
          </a:pPr>
          <a:endParaRPr lang="fr-CH"/>
        </a:p>
      </c:txPr>
    </c:legend>
    <c:plotVisOnly val="1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1000" b="0">
          <a:solidFill>
            <a:srgbClr val="334155"/>
          </a:solidFill>
          <a:latin typeface="Arial"/>
        </a:defRPr>
      </a:pPr>
      <a:endParaRPr lang="fr-CH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  <a:latin typeface="Arial"/>
              </a:defRPr>
            </a:pPr>
            <a:r>
              <a:rPr lang="en-US"/>
              <a:t>Résultat mensuel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ser>
          <c:idx val="0"/>
          <c:order val="0"/>
          <c:tx>
            <c:v>Résultat</c:v>
          </c:tx>
          <c:spPr>
            <a:solidFill>
              <a:srgbClr val="2563EB"/>
            </a:solidFill>
          </c:spPr>
          <c:cat>
            <c:strRef>
              <c:f>'Tableau de bord'!$H$8:$H$19</c:f>
              <c:strCache>
                <c:ptCount val="12"/>
                <c:pt idx="0">
                  <c:v>Jan</c:v>
                </c:pt>
                <c:pt idx="1">
                  <c:v>Fév</c:v>
                </c:pt>
                <c:pt idx="2">
                  <c:v>Mar</c:v>
                </c:pt>
                <c:pt idx="3">
                  <c:v>Avr</c:v>
                </c:pt>
                <c:pt idx="4">
                  <c:v>Mai</c:v>
                </c:pt>
                <c:pt idx="5">
                  <c:v>Juin</c:v>
                </c:pt>
                <c:pt idx="6">
                  <c:v>Juil</c:v>
                </c:pt>
                <c:pt idx="7">
                  <c:v>Août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Déc</c:v>
                </c:pt>
              </c:strCache>
            </c:strRef>
          </c:cat>
          <c:val>
            <c:numRef>
              <c:f>'Tableau de bord'!$K$8:$K$19</c:f>
              <c:numCache>
                <c:formatCode>General</c:formatCode>
                <c:ptCount val="12"/>
                <c:pt idx="0">
                  <c:v>-1500.0</c:v>
                </c:pt>
                <c:pt idx="1">
                  <c:v>-640.0</c:v>
                </c:pt>
                <c:pt idx="2">
                  <c:v>90.0</c:v>
                </c:pt>
                <c:pt idx="3">
                  <c:v>1960.0</c:v>
                </c:pt>
                <c:pt idx="4">
                  <c:v>1850.0</c:v>
                </c:pt>
                <c:pt idx="5">
                  <c:v>4000.0</c:v>
                </c:pt>
                <c:pt idx="6">
                  <c:v>-2670.0</c:v>
                </c:pt>
                <c:pt idx="7">
                  <c:v>-3780.0</c:v>
                </c:pt>
                <c:pt idx="8">
                  <c:v>3220.0</c:v>
                </c:pt>
                <c:pt idx="9">
                  <c:v>5710.0</c:v>
                </c:pt>
                <c:pt idx="10">
                  <c:v>4110.0</c:v>
                </c:pt>
                <c:pt idx="11">
                  <c:v>-5550.0</c:v>
                </c:pt>
              </c:numCache>
            </c:numRef>
          </c:val>
        </c:ser>
        <c:dLbls>
          <c:numFmt formatCode="#,##0" sourceLinked="0"/>
          <c:spPr>
            <a:noFill/>
            <a:ln>
              <a:noFill/>
            </a:ln>
          </c:spPr>
          <c:txPr>
            <a:bodyPr/>
            <a:lstStyle/>
            <a:p>
              <a:pPr>
                <a:defRPr sz="800" b="0">
                  <a:solidFill>
                    <a:srgbClr val="334155"/>
                  </a:solidFill>
                  <a:latin typeface="Arial"/>
                </a:defRPr>
              </a:pPr>
              <a:endParaRPr lang="fr-CH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50040001"/>
        <c:axId val="50040002"/>
      </c:barChart>
      <c:catAx>
        <c:axId val="50040001"/>
        <c:scaling>
          <c:orientation val="minMax"/>
        </c:scaling>
        <c:axPos val="b"/>
        <c:majorTickMark val="none"/>
        <c:tickLblPos val="low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40002"/>
        <c:crosses val="autoZero"/>
        <c:auto val="1"/>
        <c:lblAlgn val="ctr"/>
        <c:lblOffset val="100"/>
      </c:catAx>
      <c:valAx>
        <c:axId val="50040002"/>
        <c:scaling>
          <c:orientation val="minMax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40001"/>
        <c:crosses val="autoZero"/>
        <c:crossBetween val="between"/>
      </c:valAx>
    </c:plotArea>
    <c:plotVisOnly val="1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1000" b="0">
          <a:solidFill>
            <a:srgbClr val="334155"/>
          </a:solidFill>
          <a:latin typeface="Arial"/>
        </a:defRPr>
      </a:pPr>
      <a:endParaRPr lang="fr-CH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  <a:latin typeface="Arial"/>
              </a:defRPr>
            </a:pPr>
            <a:r>
              <a:rPr lang="en-US"/>
              <a:t>Charges par rubrique</a:t>
            </a:r>
          </a:p>
        </c:rich>
      </c:tx>
      <c:layout/>
      <c:overlay val="0"/>
    </c:title>
    <c:autoTitleDeleted val="0"/>
    <c:plotArea>
      <c:layout/>
      <c:doughnutChart>
        <c:varyColors val="1"/>
        <c:ser>
          <c:idx val="0"/>
          <c:order val="0"/>
          <c:tx>
            <c:v>Charges</c:v>
          </c:tx>
          <c:dPt>
            <c:idx val="0"/>
            <c:spPr>
              <a:solidFill>
                <a:srgbClr val="2563EB"/>
              </a:solidFill>
            </c:spPr>
          </c:dPt>
          <c:dPt>
            <c:idx val="1"/>
            <c:spPr>
              <a:solidFill>
                <a:srgbClr val="0EA5E9"/>
              </a:solidFill>
            </c:spPr>
          </c:dPt>
          <c:dPt>
            <c:idx val="2"/>
            <c:spPr>
              <a:solidFill>
                <a:srgbClr val="14B8A6"/>
              </a:solidFill>
            </c:spPr>
          </c:dPt>
          <c:dPt>
            <c:idx val="3"/>
            <c:spPr>
              <a:solidFill>
                <a:srgbClr val="F59E0B"/>
              </a:solidFill>
            </c:spPr>
          </c:dPt>
          <c:dPt>
            <c:idx val="4"/>
            <c:spPr>
              <a:solidFill>
                <a:srgbClr val="8B5CF6"/>
              </a:solidFill>
            </c:spPr>
          </c:dPt>
          <c:dPt>
            <c:idx val="5"/>
            <c:spPr>
              <a:solidFill>
                <a:srgbClr val="94A3B8"/>
              </a:solidFill>
            </c:spPr>
          </c:dPt>
          <c:dPt>
            <c:idx val="6"/>
            <c:spPr>
              <a:solidFill>
                <a:srgbClr val="EF4444"/>
              </a:solidFill>
            </c:spPr>
          </c:dPt>
          <c:dPt>
            <c:idx val="7"/>
            <c:spPr>
              <a:solidFill>
                <a:srgbClr val="6366F1"/>
              </a:solidFill>
            </c:spPr>
          </c:dPt>
          <c:dPt>
            <c:idx val="8"/>
            <c:spPr>
              <a:solidFill>
                <a:srgbClr val="10B981"/>
              </a:solidFill>
            </c:spPr>
          </c:dPt>
          <c:cat>
            <c:strRef>
              <c:f>'Tableau de bord'!$H$35:$H$43</c:f>
              <c:strCache>
                <c:ptCount val="9"/>
                <c:pt idx="0">
                  <c:v>Achats de marchandises</c:v>
                </c:pt>
                <c:pt idx="1">
                  <c:v>Salaires</c:v>
                </c:pt>
                <c:pt idx="2">
                  <c:v>Charges sociales</c:v>
                </c:pt>
                <c:pt idx="3">
                  <c:v>Loyer &amp; charges</c:v>
                </c:pt>
                <c:pt idx="4">
                  <c:v>Administration</c:v>
                </c:pt>
                <c:pt idx="5">
                  <c:v>Informatique</c:v>
                </c:pt>
                <c:pt idx="6">
                  <c:v>Publicité &amp; marketing</c:v>
                </c:pt>
                <c:pt idx="7">
                  <c:v>Amortissements</c:v>
                </c:pt>
                <c:pt idx="8">
                  <c:v>Charges financières</c:v>
                </c:pt>
              </c:strCache>
            </c:strRef>
          </c:cat>
          <c:val>
            <c:numRef>
              <c:f>'Tableau de bord'!$I$35:$I$43</c:f>
              <c:numCache>
                <c:formatCode>General</c:formatCode>
                <c:ptCount val="9"/>
                <c:pt idx="0">
                  <c:v>43900</c:v>
                </c:pt>
                <c:pt idx="1">
                  <c:v>102000</c:v>
                </c:pt>
                <c:pt idx="2">
                  <c:v>16800</c:v>
                </c:pt>
                <c:pt idx="3">
                  <c:v>21600</c:v>
                </c:pt>
                <c:pt idx="4">
                  <c:v>3080</c:v>
                </c:pt>
                <c:pt idx="5">
                  <c:v>1020</c:v>
                </c:pt>
                <c:pt idx="6">
                  <c:v>4600</c:v>
                </c:pt>
                <c:pt idx="7">
                  <c:v>12400</c:v>
                </c:pt>
                <c:pt idx="8">
                  <c:v>1800</c:v>
                </c:pt>
              </c:numCache>
            </c:numRef>
          </c:val>
        </c:ser>
        <c:dLbls>
          <c:numFmt formatCode="0%" sourceLinked="0"/>
          <c:spPr>
            <a:noFill/>
            <a:ln>
              <a:noFill/>
            </a:ln>
          </c:spPr>
          <c:txPr>
            <a:bodyPr/>
            <a:lstStyle/>
            <a:p>
              <a:pPr>
                <a:defRPr sz="800" b="0">
                  <a:solidFill>
                    <a:srgbClr val="334155"/>
                  </a:solidFill>
                  <a:latin typeface="Arial"/>
                </a:defRPr>
              </a:pPr>
              <a:endParaRPr lang="fr-CH"/>
            </a:p>
          </c:txPr>
          <c:showLegendKey val="0"/>
          <c:showVal val="0"/>
          <c:showCatName val="0"/>
          <c:showSerName val="0"/>
          <c:showPercent val="1"/>
          <c:showBubbleSize val="0"/>
        </c:dLbls>
        <c:firstSliceAng val="0"/>
        <c:holeSize val="60"/>
      </c:doughnutChart>
    </c:plotArea>
    <c:legend>
      <c:legendPos val="r"/>
      <c:layout/>
      <c:overlay val="0"/>
      <c:txPr>
        <a:bodyPr/>
        <a:lstStyle/>
        <a:p>
          <a:pPr>
            <a:defRPr sz="900" b="0">
              <a:solidFill>
                <a:srgbClr val="64748B"/>
              </a:solidFill>
              <a:latin typeface="Arial"/>
            </a:defRPr>
          </a:pPr>
          <a:endParaRPr lang="fr-CH"/>
        </a:p>
      </c:txPr>
    </c:legend>
    <c:plotVisOnly val="1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1000" b="0">
          <a:solidFill>
            <a:srgbClr val="334155"/>
          </a:solidFill>
          <a:latin typeface="Arial"/>
        </a:defRPr>
      </a:pPr>
      <a:endParaRPr lang="fr-CH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  <a:latin typeface="Arial"/>
              </a:defRPr>
            </a:pPr>
            <a:r>
              <a:rPr lang="en-US"/>
              <a:t>Résultat analytique par produit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ser>
          <c:idx val="0"/>
          <c:order val="0"/>
          <c:tx>
            <c:v>Résultat</c:v>
          </c:tx>
          <c:spPr>
            <a:solidFill>
              <a:srgbClr val="2563EB"/>
            </a:solidFill>
          </c:spPr>
          <c:cat>
            <c:strRef>
              <c:f>'Compta analytique'!$B$34:$C$34</c:f>
              <c:strCache>
                <c:ptCount val="2"/>
                <c:pt idx="0">
                  <c:v>Prestations</c:v>
                </c:pt>
                <c:pt idx="1">
                  <c:v>Mobilier</c:v>
                </c:pt>
              </c:strCache>
            </c:strRef>
          </c:cat>
          <c:val>
            <c:numRef>
              <c:f>'Compta analytique'!$B$41:$C$41</c:f>
              <c:numCache>
                <c:formatCode>General</c:formatCode>
                <c:ptCount val="2"/>
                <c:pt idx="0">
                  <c:v>36492.03</c:v>
                </c:pt>
                <c:pt idx="1">
                  <c:v>-27892.03</c:v>
                </c:pt>
              </c:numCache>
            </c:numRef>
          </c:val>
        </c:ser>
        <c:dLbls>
          <c:numFmt formatCode="#,##0" sourceLinked="0"/>
          <c:spPr>
            <a:noFill/>
            <a:ln>
              <a:noFill/>
            </a:ln>
          </c:spPr>
          <c:txPr>
            <a:bodyPr/>
            <a:lstStyle/>
            <a:p>
              <a:pPr>
                <a:defRPr sz="800" b="0">
                  <a:solidFill>
                    <a:srgbClr val="334155"/>
                  </a:solidFill>
                  <a:latin typeface="Arial"/>
                </a:defRPr>
              </a:pPr>
              <a:endParaRPr lang="fr-CH"/>
            </a:p>
          </c:txPr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80"/>
        <c:axId val="50060001"/>
        <c:axId val="50060002"/>
      </c:barChart>
      <c:catAx>
        <c:axId val="50060001"/>
        <c:scaling>
          <c:orientation val="minMax"/>
        </c:scaling>
        <c:axPos val="b"/>
        <c:majorTickMark val="none"/>
        <c:tickLblPos val="low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60002"/>
        <c:crosses val="autoZero"/>
        <c:auto val="1"/>
        <c:lblAlgn val="ctr"/>
        <c:lblOffset val="100"/>
      </c:catAx>
      <c:valAx>
        <c:axId val="50060002"/>
        <c:scaling>
          <c:orientation val="minMax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60001"/>
        <c:crosses val="autoZero"/>
        <c:crossBetween val="between"/>
      </c:valAx>
    </c:plotArea>
    <c:plotVisOnly val="1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1000" b="0">
          <a:solidFill>
            <a:srgbClr val="334155"/>
          </a:solidFill>
          <a:latin typeface="Arial"/>
        </a:defRPr>
      </a:pPr>
      <a:endParaRPr lang="fr-CH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/>
          <a:lstStyle/>
          <a:p>
            <a:pPr>
              <a:defRPr sz="1200" b="1">
                <a:solidFill>
                  <a:srgbClr val="0F172A"/>
                </a:solidFill>
                <a:latin typeface="Arial"/>
              </a:defRPr>
            </a:pPr>
            <a:r>
              <a:rPr lang="en-US"/>
              <a:t>Point mort : CA vs coût total</a:t>
            </a:r>
          </a:p>
        </c:rich>
      </c:tx>
      <c:layout/>
      <c:overlay val="0"/>
    </c:title>
    <c:autoTitleDeleted val="0"/>
    <c:plotArea>
      <c:layout/>
      <c:lineChart>
        <c:grouping val="standard"/>
        <c:ser>
          <c:idx val="0"/>
          <c:order val="0"/>
          <c:tx>
            <c:v>Chiffre d'affaires</c:v>
          </c:tx>
          <c:spPr>
            <a:ln w="28575">
              <a:solidFill>
                <a:srgbClr val="2563EB"/>
              </a:solidFill>
            </a:ln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334155"/>
                    </a:solidFill>
                    <a:latin typeface="Arial"/>
                  </a:defRPr>
                </a:pPr>
                <a:endParaRPr lang="fr-CH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</c:dLbls>
          <c:cat>
            <c:numRef>
              <c:f>'Seuil de rentabilité'!$D$3:$D$8</c:f>
              <c:numCache>
                <c:formatCode>General</c:formatCode>
                <c:ptCount val="6"/>
                <c:pt idx="0">
                  <c:v>0</c:v>
                </c:pt>
                <c:pt idx="1">
                  <c:v>51360</c:v>
                </c:pt>
                <c:pt idx="2">
                  <c:v>102720</c:v>
                </c:pt>
                <c:pt idx="3">
                  <c:v>154080</c:v>
                </c:pt>
                <c:pt idx="4">
                  <c:v>205440</c:v>
                </c:pt>
                <c:pt idx="5">
                  <c:v>256800</c:v>
                </c:pt>
              </c:numCache>
            </c:numRef>
          </c:cat>
          <c:val>
            <c:numRef>
              <c:f>'Seuil de rentabilité'!$E$3:$E$8</c:f>
              <c:numCache>
                <c:formatCode>General</c:formatCode>
                <c:ptCount val="6"/>
                <c:pt idx="0">
                  <c:v>0</c:v>
                </c:pt>
                <c:pt idx="1">
                  <c:v>51360</c:v>
                </c:pt>
                <c:pt idx="2">
                  <c:v>102720</c:v>
                </c:pt>
                <c:pt idx="3">
                  <c:v>154080</c:v>
                </c:pt>
                <c:pt idx="4">
                  <c:v>205440</c:v>
                </c:pt>
                <c:pt idx="5">
                  <c:v>256800</c:v>
                </c:pt>
              </c:numCache>
            </c:numRef>
          </c:val>
          <c:smooth val="0"/>
        </c:ser>
        <c:ser>
          <c:idx val="1"/>
          <c:order val="1"/>
          <c:tx>
            <c:v>Coût total</c:v>
          </c:tx>
          <c:spPr>
            <a:ln w="28575">
              <a:solidFill>
                <a:srgbClr val="DC2626"/>
              </a:solidFill>
            </a:ln>
          </c:spPr>
          <c:marker>
            <c:symbol val="none"/>
          </c:marker>
          <c:dLbls>
            <c:numFmt formatCode="#,##0" sourceLinked="0"/>
            <c:spPr>
              <a:noFill/>
              <a:ln>
                <a:noFill/>
              </a:ln>
            </c:spPr>
            <c:txPr>
              <a:bodyPr/>
              <a:lstStyle/>
              <a:p>
                <a:pPr>
                  <a:defRPr sz="800" b="0">
                    <a:solidFill>
                      <a:srgbClr val="334155"/>
                    </a:solidFill>
                    <a:latin typeface="Arial"/>
                  </a:defRPr>
                </a:pPr>
                <a:endParaRPr lang="fr-CH"/>
              </a:p>
            </c:txPr>
            <c:dLblPos val="b"/>
            <c:showLegendKey val="0"/>
            <c:showVal val="1"/>
            <c:showCatName val="0"/>
            <c:showSerName val="0"/>
            <c:showPercent val="0"/>
            <c:showBubbleSize val="0"/>
          </c:dLbls>
          <c:val>
            <c:numRef>
              <c:f>'Seuil de rentabilité'!$F$3:$F$8</c:f>
              <c:numCache>
                <c:formatCode>General</c:formatCode>
                <c:ptCount val="6"/>
                <c:pt idx="0">
                  <c:v>163300</c:v>
                </c:pt>
                <c:pt idx="1">
                  <c:v>173836</c:v>
                </c:pt>
                <c:pt idx="2">
                  <c:v>184372</c:v>
                </c:pt>
                <c:pt idx="3">
                  <c:v>194908</c:v>
                </c:pt>
                <c:pt idx="4">
                  <c:v>205444</c:v>
                </c:pt>
                <c:pt idx="5">
                  <c:v>215980</c:v>
                </c:pt>
              </c:numCache>
            </c:numRef>
          </c:val>
          <c:smooth val="0"/>
        </c:ser>
        <c:marker val="1"/>
        <c:axId val="50070001"/>
        <c:axId val="50070002"/>
      </c:lineChart>
      <c:catAx>
        <c:axId val="50070001"/>
        <c:scaling>
          <c:orientation val="minMax"/>
        </c:scaling>
        <c:axPos val="b"/>
        <c:numFmt formatCode="General" sourceLinked="1"/>
        <c:majorTickMark val="none"/>
        <c:tickLblPos val="low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70002"/>
        <c:crosses val="autoZero"/>
        <c:auto val="1"/>
        <c:lblAlgn val="ctr"/>
        <c:lblOffset val="100"/>
      </c:catAx>
      <c:valAx>
        <c:axId val="50070002"/>
        <c:scaling>
          <c:orientation val="minMax"/>
        </c:scaling>
        <c:axPos val="l"/>
        <c:majorGridlines>
          <c:spPr>
            <a:ln w="9525">
              <a:solidFill>
                <a:srgbClr val="E2E8F0"/>
              </a:solidFill>
            </a:ln>
          </c:spPr>
        </c:majorGridlines>
        <c:numFmt formatCode="#,##0" sourceLinked="0"/>
        <c:majorTickMark val="none"/>
        <c:tickLblPos val="nextTo"/>
        <c:spPr>
          <a:ln w="9525">
            <a:solidFill>
              <a:srgbClr val="CBD5E1"/>
            </a:solidFill>
          </a:ln>
        </c:spPr>
        <c:txPr>
          <a:bodyPr/>
          <a:lstStyle/>
          <a:p>
            <a:pPr>
              <a:defRPr sz="900" b="0">
                <a:solidFill>
                  <a:srgbClr val="64748B"/>
                </a:solidFill>
                <a:latin typeface="Arial"/>
              </a:defRPr>
            </a:pPr>
            <a:endParaRPr lang="fr-CH"/>
          </a:p>
        </c:txPr>
        <c:crossAx val="50070001"/>
        <c:crosses val="autoZero"/>
        <c:crossBetween val="between"/>
      </c:valAx>
    </c:plotArea>
    <c:legend>
      <c:legendPos val="b"/>
      <c:layout/>
      <c:overlay val="0"/>
      <c:txPr>
        <a:bodyPr/>
        <a:lstStyle/>
        <a:p>
          <a:pPr>
            <a:defRPr sz="900" b="0">
              <a:solidFill>
                <a:srgbClr val="64748B"/>
              </a:solidFill>
              <a:latin typeface="Arial"/>
            </a:defRPr>
          </a:pPr>
          <a:endParaRPr lang="fr-CH"/>
        </a:p>
      </c:txPr>
    </c:legend>
    <c:plotVisOnly val="1"/>
  </c:chart>
  <c:spPr>
    <a:solidFill>
      <a:srgbClr val="FFFFFF"/>
    </a:solidFill>
    <a:ln w="9525">
      <a:solidFill>
        <a:srgbClr val="E2E8F0"/>
      </a:solidFill>
    </a:ln>
  </c:spPr>
  <c:txPr>
    <a:bodyPr/>
    <a:lstStyle/>
    <a:p>
      <a:pPr>
        <a:defRPr sz="1000" b="0">
          <a:solidFill>
            <a:srgbClr val="334155"/>
          </a:solidFill>
          <a:latin typeface="Arial"/>
        </a:defRPr>
      </a:pPr>
      <a:endParaRPr lang="fr-CH"/>
    </a:p>
  </c:txPr>
  <c:printSettings>
    <c:headerFooter/>
    <c:pageMargins b="0.75" l="0.7" r="0.7" t="0.75" header="0.3" footer="0.3"/>
    <c:pageSetup/>
  </c:printSettings>
</c: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_rels/drawing2.xml.rels><Relationships xmlns="http://schemas.openxmlformats.org/package/2006/relationships"><Relationship Type="http://schemas.openxmlformats.org/officeDocument/2006/relationships/chart" Target="/xl/charts/chart2.xml" Id="rId1"/></Relationships>
</file>

<file path=xl/drawings/_rels/drawing3.xml.rels><Relationships xmlns="http://schemas.openxmlformats.org/package/2006/relationships"><Relationship Type="http://schemas.openxmlformats.org/officeDocument/2006/relationships/chart" Target="/xl/charts/chart3.xml" Id="rId1"/><Relationship Type="http://schemas.openxmlformats.org/officeDocument/2006/relationships/chart" Target="/xl/charts/chart4.xml" Id="rId2"/><Relationship Type="http://schemas.openxmlformats.org/officeDocument/2006/relationships/chart" Target="/xl/charts/chart5.xml" Id="rId3"/></Relationships>
</file>

<file path=xl/drawings/_rels/drawing4.xml.rels><Relationships xmlns="http://schemas.openxmlformats.org/package/2006/relationships"><Relationship Type="http://schemas.openxmlformats.org/officeDocument/2006/relationships/chart" Target="/xl/charts/chart6.xml" Id="rId1"/></Relationships>
</file>

<file path=xl/drawings/_rels/drawing5.xml.rels><Relationships xmlns="http://schemas.openxmlformats.org/package/2006/relationships"><Relationship Type="http://schemas.openxmlformats.org/officeDocument/2006/relationships/chart" Target="/xl/charts/chart7.xml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20</row>
      <rowOff>0</rowOff>
    </from>
    <to>
      <col>4</col>
      <colOff>352425</colOff>
      <row>31</row>
      <rowOff>95250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drawings/drawing2.xml><?xml version="1.0" encoding="utf-8"?>
<wsDr xmlns="http://schemas.openxmlformats.org/drawingml/2006/spreadsheetDrawing">
  <twoCellAnchor>
    <from>
      <col>8</col>
      <colOff>0</colOff>
      <row>11</row>
      <rowOff>0</rowOff>
    </from>
    <to>
      <col>13</col>
      <colOff>409575</colOff>
      <row>22</row>
      <rowOff>95250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drawings/drawing3.xml><?xml version="1.0" encoding="utf-8"?>
<wsDr xmlns="http://schemas.openxmlformats.org/drawingml/2006/spreadsheetDrawing">
  <twoCellAnchor>
    <from>
      <col>1</col>
      <colOff>0</colOff>
      <row>16</row>
      <rowOff>0</rowOff>
    </from>
    <to>
      <col>4</col>
      <colOff>733425</colOff>
      <row>28</row>
      <rowOff>95250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  <twoCellAnchor>
    <from>
      <col>7</col>
      <colOff>0</colOff>
      <row>21</row>
      <rowOff>0</rowOff>
    </from>
    <to>
      <col>11</col>
      <colOff>228600</colOff>
      <row>32</row>
      <rowOff>0</rowOff>
    </to>
    <graphicFrame>
      <nvGraphicFramePr>
        <cNvPr id="2" name="Chart 2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graphicFrame>
    <clientData/>
  </twoCellAnchor>
  <twoCellAnchor>
    <from>
      <col>1</col>
      <colOff>0</colOff>
      <row>32</row>
      <rowOff>0</rowOff>
    </from>
    <to>
      <col>4</col>
      <colOff>257175</colOff>
      <row>45</row>
      <rowOff>95250</rowOff>
    </to>
    <graphicFrame>
      <nvGraphicFramePr>
        <cNvPr id="3" name="Chart 3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graphicFrame>
    <clientData/>
  </twoCellAnchor>
</wsDr>
</file>

<file path=xl/drawings/drawing4.xml><?xml version="1.0" encoding="utf-8"?>
<wsDr xmlns="http://schemas.openxmlformats.org/drawingml/2006/spreadsheetDrawing">
  <twoCellAnchor>
    <from>
      <col>7</col>
      <colOff>0</colOff>
      <row>1</row>
      <rowOff>0</rowOff>
    </from>
    <to>
      <col>13</col>
      <colOff>342900</colOff>
      <row>10</row>
      <rowOff>95250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drawings/drawing5.xml><?xml version="1.0" encoding="utf-8"?>
<wsDr xmlns="http://schemas.openxmlformats.org/drawingml/2006/spreadsheetDrawing">
  <twoCellAnchor>
    <from>
      <col>3</col>
      <colOff>0</colOff>
      <row>9</row>
      <rowOff>0</rowOff>
    </from>
    <to>
      <col>10</col>
      <colOff>114300</colOff>
      <row>22</row>
      <rowOff>0</rowOff>
    </to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twoCellAnchor>
</wsDr>
</file>

<file path=xl/tables/table1.xml><?xml version="1.0" encoding="utf-8"?>
<table xmlns="http://schemas.openxmlformats.org/spreadsheetml/2006/main" id="1" name="tblJournal" displayName="tblJournal" ref="A1:L152" headerRowCount="1" totalsRowShown="0">
  <autoFilter ref="A1:L152"/>
  <tableColumns count="12">
    <tableColumn id="1" name="Date"/>
    <tableColumn id="2" name="Pièce"/>
    <tableColumn id="3" name="Libellé"/>
    <tableColumn id="4" name="Nature"/>
    <tableColumn id="5" name="Débit"/>
    <tableColumn id="6" name="Crédit"/>
    <tableColumn id="7" name="Montant HT"/>
    <tableColumn id="8" name="Code"/>
    <tableColumn id="9" name="Taux"/>
    <tableColumn id="10" name="TVA CHF"/>
    <tableColumn id="11" name="Montant TTC"/>
    <tableColumn id="12" name="Cpte TVA"/>
  </tableColumns>
  <tableStyleInfo name="ArceusNavy" showFirstColumn="0" showLastColumn="0" showRowStripes="1" showColumnStripes="0"/>
</table>
</file>

<file path=xl/tables/table2.xml><?xml version="1.0" encoding="utf-8"?>
<table xmlns="http://schemas.openxmlformats.org/spreadsheetml/2006/main" id="2" name="tblImmo" displayName="tblImmo" ref="A4:K7" headerRowCount="1" totalsRowShown="0">
  <autoFilter ref="A4:K7"/>
  <tableColumns count="11">
    <tableColumn id="1" name="Immobilisation"/>
    <tableColumn id="2" name="Compte"/>
    <tableColumn id="3" name="Acquisition"/>
    <tableColumn id="4" name="Valeur d'acq."/>
    <tableColumn id="5" name="Taux"/>
    <tableColumn id="6" name="Dotation N"/>
    <tableColumn id="7" name="Cumul N"/>
    <tableColumn id="8" name="Valeur nette"/>
    <tableColumn id="9" name="Taux fiscal max"/>
    <tableColumn id="10" name="Dotation fiscale max"/>
    <tableColumn id="11" name="Excédent non admis"/>
  </tableColumns>
  <tableStyleInfo name="ArceusNavy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9.xml.rels><Relationships xmlns="http://schemas.openxmlformats.org/package/2006/relationships"><Relationship Type="http://schemas.openxmlformats.org/officeDocument/2006/relationships/drawing" Target="/xl/drawings/drawing1.xml" Id="rId1"/><Relationship Type="http://schemas.openxmlformats.org/officeDocument/2006/relationships/table" Target="/xl/tables/table2.xml" Id="rId2"/></Relationships>
</file>

<file path=xl/worksheets/_rels/sheet11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16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_rels/sheet18.xml.rels><Relationships xmlns="http://schemas.openxmlformats.org/package/2006/relationships"><Relationship Type="http://schemas.openxmlformats.org/officeDocument/2006/relationships/drawing" Target="/xl/drawings/drawing4.xml" Id="rId1"/></Relationships>
</file>

<file path=xl/worksheets/_rels/sheet19.xml.rels><Relationships xmlns="http://schemas.openxmlformats.org/package/2006/relationships"><Relationship Type="http://schemas.openxmlformats.org/officeDocument/2006/relationships/drawing" Target="/xl/drawings/drawing5.xml" Id="rId1"/></Relationships>
</file>

<file path=xl/worksheets/sheet1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B2:G43"/>
  <sheetViews>
    <sheetView showGridLines="0" zoomScale="100" workbookViewId="0">
      <selection activeCell="A1" sqref="A1"/>
    </sheetView>
  </sheetViews>
  <sheetFormatPr baseColWidth="8" defaultRowHeight="15"/>
  <cols>
    <col width="2.5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2.5" customWidth="1" min="8" max="8"/>
  </cols>
  <sheetData>
    <row r="2">
      <c r="B2" s="76" t="inlineStr">
        <is>
          <t>COMPTABILITÉ · CONTRÔLE DE GESTION · ANALYSE</t>
        </is>
      </c>
    </row>
    <row r="3" ht="28" customHeight="1">
      <c r="B3" s="77" t="inlineStr">
        <is>
          <t>Atelier Léman Sàrl</t>
        </is>
      </c>
    </row>
    <row r="4">
      <c r="B4" s="78" t="inlineStr">
        <is>
          <t>Exercice 2025 — classeur de démonstration (données fictives) · Excel 365</t>
        </is>
      </c>
    </row>
    <row r="5" ht="8" customHeight="1"/>
    <row r="6">
      <c r="B6" s="76" t="inlineStr">
        <is>
          <t>CHIFFRES CLÉS 2025</t>
        </is>
      </c>
    </row>
    <row r="7" ht="20" customHeight="1">
      <c r="B7" s="79" t="inlineStr">
        <is>
          <t>Chiffre d'affaires</t>
        </is>
      </c>
      <c r="C7" s="79" t="inlineStr">
        <is>
          <t>Résultat net</t>
        </is>
      </c>
      <c r="D7" s="79" t="inlineStr">
        <is>
          <t>Marge nette</t>
        </is>
      </c>
      <c r="E7" s="79" t="inlineStr">
        <is>
          <t>Trésorerie au 31.12</t>
        </is>
      </c>
      <c r="F7" s="79" t="inlineStr">
        <is>
          <t>Seuil de rentabilité</t>
        </is>
      </c>
      <c r="G7" s="79" t="inlineStr">
        <is>
          <t>TVA due au 31.12</t>
        </is>
      </c>
    </row>
    <row r="8" ht="30" customHeight="1">
      <c r="B8" s="80">
        <f>'Compte de résultat'!$B$7</f>
        <v>214000</v>
      </c>
      <c r="C8" s="81">
        <f>'Compte de résultat'!$B$25</f>
        <v>9918.08000000001</v>
      </c>
      <c r="D8" s="82">
        <f>'Compte de résultat'!$B$25/'Compte de résultat'!$B$7</f>
        <v>0.0463461682242991</v>
      </c>
      <c r="E8" s="80">
        <f>'Balance'!$E$5</f>
        <v>73682.12</v>
      </c>
      <c r="F8" s="80">
        <f>'Seuil de rentabilité'!$B$8</f>
        <v>199103.05867137</v>
      </c>
      <c r="G8" s="80">
        <f>'Décompte TVA'!$B$17</f>
        <v>4339.17</v>
      </c>
    </row>
    <row r="9" ht="20" customHeight="1">
      <c r="B9" s="83" t="str">
        <f>TEXT(SUM('Tableau de bord'!$I$8:$I$19)/SUM('Tableau de bord'!$L$8:$L$19)-1,"+0.0%;-0.0%")&amp;" vs N-1"</f>
        <v>+13.6% vs N-1</v>
      </c>
      <c r="C9" s="83" t="str">
        <f>"marge nette "&amp;TEXT('Compte de résultat'!$B$25/'Compte de résultat'!$B$7,"0.0%")</f>
        <v>marge nette 4.6%</v>
      </c>
      <c r="D9" s="83" t="str">
        <f>"part du résultat sur le CA"</f>
        <v>part du résultat sur le CA</v>
      </c>
      <c r="E9" s="83" t="str">
        <f>"solde caisse + banque"</f>
        <v>solde caisse + banque</v>
      </c>
      <c r="F9" s="83" t="str">
        <f>"marge de sécurité "&amp;TEXT('Seuil de rentabilité'!$B$10,"0.0%")</f>
        <v>marge de sécurité 7.0%</v>
      </c>
      <c r="G9" s="83" t="str">
        <f>"T4, payable en février"</f>
        <v>T4, payable en février</v>
      </c>
    </row>
    <row r="10" ht="10" customHeight="1"/>
    <row r="11">
      <c r="B11" s="76" t="inlineStr">
        <is>
          <t>SOMMAIRE</t>
        </is>
      </c>
      <c r="C11" s="78" t="inlineStr">
        <is>
          <t>Cliquer sur le nom d'une feuille pour y accéder</t>
        </is>
      </c>
    </row>
    <row r="12" ht="20" customHeight="1">
      <c r="B12" s="84" t="inlineStr">
        <is>
          <t>Feuille</t>
        </is>
      </c>
      <c r="C12" s="84" t="inlineStr">
        <is>
          <t>Contenu</t>
        </is>
      </c>
      <c r="D12" s="84" t="n"/>
      <c r="E12" s="84" t="n"/>
      <c r="F12" s="84" t="n"/>
      <c r="G12" s="84" t="n"/>
    </row>
    <row r="13" ht="20" customHeight="1">
      <c r="B13" s="85" t="inlineStr">
        <is>
          <t>01  ·  Comptabilité</t>
        </is>
      </c>
      <c r="C13" s="85" t="n"/>
      <c r="D13" s="85" t="n"/>
      <c r="E13" s="85" t="n"/>
      <c r="F13" s="85" t="n"/>
      <c r="G13" s="85" t="n"/>
    </row>
    <row r="14" ht="18" customHeight="1">
      <c r="B14" s="86" t="inlineStr">
        <is>
          <t>Journal</t>
        </is>
      </c>
      <c r="C14" s="87" t="inlineStr">
        <is>
          <t>Écritures chronologiques — tableau structuré, TVA imputée sur 2200 / 1176, écritures de bouclement</t>
        </is>
      </c>
      <c r="D14" s="88" t="n"/>
      <c r="E14" s="88" t="n"/>
      <c r="F14" s="88" t="n"/>
      <c r="G14" s="88" t="n"/>
    </row>
    <row r="15" ht="18" customHeight="1">
      <c r="B15" s="89" t="inlineStr">
        <is>
          <t>Saisie</t>
        </is>
      </c>
      <c r="C15" s="90" t="inlineStr">
        <is>
          <t>Formulaires d'ajout de lignes (macros VBA disponibles dans la version .xlsm)</t>
        </is>
      </c>
      <c r="D15" s="91" t="n"/>
      <c r="E15" s="91" t="n"/>
      <c r="F15" s="91" t="n"/>
      <c r="G15" s="91" t="n"/>
    </row>
    <row r="16" ht="18" customHeight="1">
      <c r="B16" s="86" t="inlineStr">
        <is>
          <t>Grand livre</t>
        </is>
      </c>
      <c r="C16" s="87" t="inlineStr">
        <is>
          <t>Consultation interactive d'un compte (FILTER, Excel 365)</t>
        </is>
      </c>
      <c r="D16" s="88" t="n"/>
      <c r="E16" s="88" t="n"/>
      <c r="F16" s="88" t="n"/>
      <c r="G16" s="88" t="n"/>
    </row>
    <row r="17" ht="18" customHeight="1">
      <c r="B17" s="89" t="inlineStr">
        <is>
          <t>Balance</t>
        </is>
      </c>
      <c r="C17" s="90" t="inlineStr">
        <is>
          <t>Balance de vérification et contrôle de l'équilibre</t>
        </is>
      </c>
      <c r="D17" s="91" t="n"/>
      <c r="E17" s="91" t="n"/>
      <c r="F17" s="91" t="n"/>
      <c r="G17" s="91" t="n"/>
    </row>
    <row r="18" ht="18" customHeight="1">
      <c r="B18" s="86" t="inlineStr">
        <is>
          <t>Bilan</t>
        </is>
      </c>
      <c r="C18" s="87" t="inlineStr">
        <is>
          <t>Actif / Passif comparatif N vs N-1</t>
        </is>
      </c>
      <c r="D18" s="88" t="n"/>
      <c r="E18" s="88" t="n"/>
      <c r="F18" s="88" t="n"/>
      <c r="G18" s="88" t="n"/>
    </row>
    <row r="19" ht="18" customHeight="1">
      <c r="B19" s="89" t="inlineStr">
        <is>
          <t>Compte de résultat</t>
        </is>
      </c>
      <c r="C19" s="90" t="inlineStr">
        <is>
          <t>Résultat d'exploitation, financier et net</t>
        </is>
      </c>
      <c r="D19" s="91" t="n"/>
      <c r="E19" s="91" t="n"/>
      <c r="F19" s="91" t="n"/>
      <c r="G19" s="91" t="n"/>
    </row>
    <row r="20" ht="18" customHeight="1">
      <c r="B20" s="86" t="inlineStr">
        <is>
          <t>Décompte TVA</t>
        </is>
      </c>
      <c r="C20" s="87" t="inlineStr">
        <is>
          <t>Décomptes trimestriels (méthode effective) depuis le journal, TVA comptabilisée</t>
        </is>
      </c>
      <c r="D20" s="88" t="n"/>
      <c r="E20" s="88" t="n"/>
      <c r="F20" s="88" t="n"/>
      <c r="G20" s="88" t="n"/>
    </row>
    <row r="21" ht="18" customHeight="1">
      <c r="B21" s="89" t="inlineStr">
        <is>
          <t>Impôts</t>
        </is>
      </c>
      <c r="C21" s="90" t="inlineStr">
        <is>
          <t>Du résultat commercial au bénéfice imposable : reprise fiscale et provision pour impôts</t>
        </is>
      </c>
      <c r="D21" s="91" t="n"/>
      <c r="E21" s="91" t="n"/>
      <c r="F21" s="91" t="n"/>
      <c r="G21" s="91" t="n"/>
    </row>
    <row r="22" ht="18" customHeight="1">
      <c r="B22" s="86" t="inlineStr">
        <is>
          <t>Rapprochement</t>
        </is>
      </c>
      <c r="C22" s="87" t="inlineStr">
        <is>
          <t>Rapprochement bancaire</t>
        </is>
      </c>
      <c r="D22" s="88" t="n"/>
      <c r="E22" s="88" t="n"/>
      <c r="F22" s="88" t="n"/>
      <c r="G22" s="88" t="n"/>
    </row>
    <row r="23" ht="18" customHeight="1">
      <c r="B23" s="89" t="inlineStr">
        <is>
          <t>Contrôles</t>
        </is>
      </c>
      <c r="C23" s="90" t="inlineStr">
        <is>
          <t>18 contrôles croisés (équilibre, TVA, immobilisations, débiteurs, trésorerie) et statut global</t>
        </is>
      </c>
      <c r="D23" s="91" t="n"/>
      <c r="E23" s="91" t="n"/>
      <c r="F23" s="91" t="n"/>
      <c r="G23" s="91" t="n"/>
    </row>
    <row r="24" ht="20" customHeight="1">
      <c r="B24" s="85" t="inlineStr">
        <is>
          <t>02  ·  Analyse &amp; contrôle de gestion</t>
        </is>
      </c>
      <c r="C24" s="85" t="n"/>
      <c r="D24" s="85" t="n"/>
      <c r="E24" s="85" t="n"/>
      <c r="F24" s="85" t="n"/>
      <c r="G24" s="85" t="n"/>
    </row>
    <row r="25" ht="18" customHeight="1">
      <c r="B25" s="86" t="inlineStr">
        <is>
          <t>Tableau de bord</t>
        </is>
      </c>
      <c r="C25" s="87" t="inlineStr">
        <is>
          <t>KPI, graphiques, sparklines, comparaison N-1</t>
        </is>
      </c>
      <c r="D25" s="88" t="n"/>
      <c r="E25" s="88" t="n"/>
      <c r="F25" s="88" t="n"/>
      <c r="G25" s="88" t="n"/>
    </row>
    <row r="26" ht="18" customHeight="1">
      <c r="B26" s="89" t="inlineStr">
        <is>
          <t>Ratios &amp; analyse</t>
        </is>
      </c>
      <c r="C26" s="90" t="inlineStr">
        <is>
          <t>Liquidité, ROE, BFR, DSO, endettement</t>
        </is>
      </c>
      <c r="D26" s="91" t="n"/>
      <c r="E26" s="91" t="n"/>
      <c r="F26" s="91" t="n"/>
      <c r="G26" s="91" t="n"/>
    </row>
    <row r="27" ht="18" customHeight="1">
      <c r="B27" s="86" t="inlineStr">
        <is>
          <t>Compta analytique</t>
        </is>
      </c>
      <c r="C27" s="87" t="inlineStr">
        <is>
          <t>Charges par centre et coût de revient (CAE)</t>
        </is>
      </c>
      <c r="D27" s="88" t="n"/>
      <c r="E27" s="88" t="n"/>
      <c r="F27" s="88" t="n"/>
      <c r="G27" s="88" t="n"/>
    </row>
    <row r="28" ht="18" customHeight="1">
      <c r="B28" s="89" t="inlineStr">
        <is>
          <t>Seuil de rentabilité</t>
        </is>
      </c>
      <c r="C28" s="90" t="inlineStr">
        <is>
          <t>Point mort et marge de sécurité</t>
        </is>
      </c>
      <c r="D28" s="91" t="n"/>
      <c r="E28" s="91" t="n"/>
      <c r="F28" s="91" t="n"/>
      <c r="G28" s="91" t="n"/>
    </row>
    <row r="29" ht="18" customHeight="1">
      <c r="B29" s="86" t="inlineStr">
        <is>
          <t>Budget &amp; écarts</t>
        </is>
      </c>
      <c r="C29" s="87" t="inlineStr">
        <is>
          <t>Budget vs réel mensuel</t>
        </is>
      </c>
      <c r="D29" s="88" t="n"/>
      <c r="E29" s="88" t="n"/>
      <c r="F29" s="88" t="n"/>
      <c r="G29" s="88" t="n"/>
    </row>
    <row r="30" ht="18" customHeight="1">
      <c r="B30" s="89" t="inlineStr">
        <is>
          <t>Budget N+1</t>
        </is>
      </c>
      <c r="C30" s="90" t="inlineStr">
        <is>
          <t>Prévisionnel piloté par hypothèses</t>
        </is>
      </c>
      <c r="D30" s="91" t="n"/>
      <c r="E30" s="91" t="n"/>
      <c r="F30" s="91" t="n"/>
      <c r="G30" s="91" t="n"/>
    </row>
    <row r="31" ht="18" customHeight="1">
      <c r="B31" s="86" t="inlineStr">
        <is>
          <t>Scénarios</t>
        </is>
      </c>
      <c r="C31" s="87" t="inlineStr">
        <is>
          <t>Scénarios et matrice de sensibilité</t>
        </is>
      </c>
      <c r="D31" s="88" t="n"/>
      <c r="E31" s="88" t="n"/>
      <c r="F31" s="88" t="n"/>
      <c r="G31" s="88" t="n"/>
    </row>
    <row r="32" ht="18" customHeight="1">
      <c r="B32" s="89" t="inlineStr">
        <is>
          <t>Flux de trésorerie</t>
        </is>
      </c>
      <c r="C32" s="90" t="inlineStr">
        <is>
          <t>Tableau de flux (méthode indirecte)</t>
        </is>
      </c>
      <c r="D32" s="91" t="n"/>
      <c r="E32" s="91" t="n"/>
      <c r="F32" s="91" t="n"/>
      <c r="G32" s="91" t="n"/>
    </row>
    <row r="33" ht="18" customHeight="1">
      <c r="B33" s="86" t="inlineStr">
        <is>
          <t>Immobilisations</t>
        </is>
      </c>
      <c r="C33" s="87" t="inlineStr">
        <is>
          <t>Registre, matrice pluriannuelle, amortissement commercial vs fiscal (Notice A)</t>
        </is>
      </c>
      <c r="D33" s="88" t="n"/>
      <c r="E33" s="88" t="n"/>
      <c r="F33" s="88" t="n"/>
      <c r="G33" s="88" t="n"/>
    </row>
    <row r="34" ht="18" customHeight="1">
      <c r="B34" s="89" t="inlineStr">
        <is>
          <t>Emprunt</t>
        </is>
      </c>
      <c r="C34" s="90" t="inlineStr">
        <is>
          <t>Plan d'amortissement de l'emprunt (PMT / IPMT / PPMT), part à court terme</t>
        </is>
      </c>
      <c r="D34" s="91" t="n"/>
      <c r="E34" s="91" t="n"/>
      <c r="F34" s="91" t="n"/>
      <c r="G34" s="91" t="n"/>
    </row>
    <row r="35" ht="18" customHeight="1">
      <c r="B35" s="86" t="inlineStr">
        <is>
          <t>Débiteurs</t>
        </is>
      </c>
      <c r="C35" s="87" t="inlineStr">
        <is>
          <t>Balance âgée des créances clients</t>
        </is>
      </c>
      <c r="D35" s="88" t="n"/>
      <c r="E35" s="88" t="n"/>
      <c r="F35" s="88" t="n"/>
      <c r="G35" s="88" t="n"/>
    </row>
    <row r="36" ht="20" customHeight="1">
      <c r="B36" s="85" t="inlineStr">
        <is>
          <t>03  ·  Salaires &amp; RH</t>
        </is>
      </c>
      <c r="C36" s="85" t="n"/>
      <c r="D36" s="85" t="n"/>
      <c r="E36" s="85" t="n"/>
      <c r="F36" s="85" t="n"/>
      <c r="G36" s="85" t="n"/>
    </row>
    <row r="37" ht="18" customHeight="1">
      <c r="B37" s="86" t="inlineStr">
        <is>
          <t>Salaires</t>
        </is>
      </c>
      <c r="C37" s="87" t="inlineStr">
        <is>
          <t>Brut → net, coût employeur et décomptes sociaux trimestriels (2270)</t>
        </is>
      </c>
      <c r="D37" s="88" t="n"/>
      <c r="E37" s="88" t="n"/>
      <c r="F37" s="88" t="n"/>
      <c r="G37" s="88" t="n"/>
    </row>
    <row r="38" ht="18" customHeight="1">
      <c r="B38" s="89" t="inlineStr">
        <is>
          <t>Fiche de salaire</t>
        </is>
      </c>
      <c r="C38" s="90" t="inlineStr">
        <is>
          <t>Fiche imprimable (PDF) avec charges patronales</t>
        </is>
      </c>
      <c r="D38" s="91" t="n"/>
      <c r="E38" s="91" t="n"/>
      <c r="F38" s="91" t="n"/>
      <c r="G38" s="91" t="n"/>
    </row>
    <row r="39" ht="20" customHeight="1">
      <c r="B39" s="85" t="inlineStr">
        <is>
          <t>04  ·  Références</t>
        </is>
      </c>
      <c r="C39" s="85" t="n"/>
      <c r="D39" s="85" t="n"/>
      <c r="E39" s="85" t="n"/>
      <c r="F39" s="85" t="n"/>
      <c r="G39" s="85" t="n"/>
    </row>
    <row r="40" ht="18" customHeight="1">
      <c r="B40" s="86" t="inlineStr">
        <is>
          <t>Paramètres</t>
        </is>
      </c>
      <c r="C40" s="87" t="inlineStr">
        <is>
          <t>Plan comptable, codes TVA, taux sociaux (source unique)</t>
        </is>
      </c>
      <c r="D40" s="88" t="n"/>
      <c r="E40" s="88" t="n"/>
      <c r="F40" s="88" t="n"/>
      <c r="G40" s="88" t="n"/>
    </row>
    <row r="41" ht="18" customHeight="1">
      <c r="B41" s="89" t="inlineStr">
        <is>
          <t>Méthodes</t>
        </is>
      </c>
      <c r="C41" s="90" t="inlineStr">
        <is>
          <t>Fonctions et techniques employées dans le classeur</t>
        </is>
      </c>
      <c r="D41" s="91" t="n"/>
      <c r="E41" s="91" t="n"/>
      <c r="F41" s="91" t="n"/>
      <c r="G41" s="91" t="n"/>
    </row>
    <row r="43" ht="30" customHeight="1">
      <c r="B43" s="92" t="inlineStr">
        <is>
          <t>Balance, bilan, compte de résultat, TVA, flux de trésorerie et tableau de bord sont calculés par formules depuis le journal et les paramètres ; société créée le 01.01.2025, comparatif N-1 illustratif.</t>
        </is>
      </c>
    </row>
  </sheetData>
  <mergeCells count="31">
    <mergeCell ref="C30:G30"/>
    <mergeCell ref="C34:G34"/>
    <mergeCell ref="C15:G15"/>
    <mergeCell ref="C33:G33"/>
    <mergeCell ref="B13:G13"/>
    <mergeCell ref="C14:G14"/>
    <mergeCell ref="C26:G26"/>
    <mergeCell ref="C29:G29"/>
    <mergeCell ref="C35:G35"/>
    <mergeCell ref="C20:G20"/>
    <mergeCell ref="C16:G16"/>
    <mergeCell ref="C25:G25"/>
    <mergeCell ref="C41:G41"/>
    <mergeCell ref="C31:G31"/>
    <mergeCell ref="C22:G22"/>
    <mergeCell ref="C40:G40"/>
    <mergeCell ref="B24:G24"/>
    <mergeCell ref="C21:G21"/>
    <mergeCell ref="C12:G12"/>
    <mergeCell ref="B36:G36"/>
    <mergeCell ref="C27:G27"/>
    <mergeCell ref="C23:G23"/>
    <mergeCell ref="C17:G17"/>
    <mergeCell ref="C32:G32"/>
    <mergeCell ref="C38:G38"/>
    <mergeCell ref="C28:G28"/>
    <mergeCell ref="C19:G19"/>
    <mergeCell ref="C37:G37"/>
    <mergeCell ref="B43:G43"/>
    <mergeCell ref="C18:G18"/>
    <mergeCell ref="B39:G39"/>
  </mergeCells>
  <hyperlinks>
    <hyperlink ref="B14" location="'Journal'!A1" display="Journal"/>
    <hyperlink ref="B15" location="'Saisie'!A1" display="Saisie"/>
    <hyperlink ref="B16" location="'Grand livre'!A1" display="Grand livre"/>
    <hyperlink ref="B17" location="'Balance'!A1" display="Balance"/>
    <hyperlink ref="B18" location="'Bilan'!A1" display="Bilan"/>
    <hyperlink ref="B19" location="'Compte de résultat'!A1" display="Compte de résultat"/>
    <hyperlink ref="B20" location="'Décompte TVA'!A1" display="Décompte TVA"/>
    <hyperlink ref="B21" location="'Impôts'!A1" display="Impôts"/>
    <hyperlink ref="B22" location="'Rapprochement'!A1" display="Rapprochement"/>
    <hyperlink ref="B23" location="'Contrôles'!A1" display="Contrôles"/>
    <hyperlink ref="B25" location="'Tableau de bord'!A1" display="Tableau de bord"/>
    <hyperlink ref="B26" location="'Ratios &amp; analyse'!A1" display="Ratios &amp; analyse"/>
    <hyperlink ref="B27" location="'Compta analytique'!A1" display="Compta analytique"/>
    <hyperlink ref="B28" location="'Seuil de rentabilité'!A1" display="Seuil de rentabilité"/>
    <hyperlink ref="B29" location="'Budget &amp; écarts'!A1" display="Budget &amp; écarts"/>
    <hyperlink ref="B30" location="'Budget N+1'!A1" display="Budget N+1"/>
    <hyperlink ref="B31" location="'Scénarios'!A1" display="Scénarios"/>
    <hyperlink ref="B32" location="'Flux de trésorerie'!A1" display="Flux de trésorerie"/>
    <hyperlink ref="B33" location="'Immobilisations'!A1" display="Immobilisations"/>
    <hyperlink ref="B34" location="'Emprunt'!A1" display="Emprunt"/>
    <hyperlink ref="B35" location="'Débiteurs'!A1" display="Débiteurs"/>
    <hyperlink ref="B37" location="'Salaires'!A1" display="Salaires"/>
    <hyperlink ref="B38" location="'Fiche de salaire'!A1" display="Fiche de salaire"/>
    <hyperlink ref="B40" location="'Paramètres'!A1" display="Paramètres"/>
    <hyperlink ref="B41" location="'Méthodes'!A1" display="Méthodes"/>
  </hyperlinks>
  <printOptions horizontalCentered="1"/>
  <pageMargins left="0.5" right="0.5" top="0.6" bottom="0.7" header="0.5" footer="0.5"/>
  <pageSetup orientation="portrait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N36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.7" customWidth="1" min="1" max="1"/>
    <col width="34.7" customWidth="1" min="2" max="2"/>
    <col width="12.7" customWidth="1" min="3" max="3"/>
    <col width="11" customWidth="1" min="4" max="4"/>
    <col width="54.3" customWidth="1" min="6" max="6"/>
    <col width="22.7" customWidth="1" min="7" max="7"/>
    <col width="14.4" customWidth="1" min="8" max="8"/>
    <col width="10.7" customWidth="1" min="10" max="10"/>
    <col width="13" customWidth="1" min="11" max="11"/>
    <col width="13" customWidth="1" min="13" max="13"/>
  </cols>
  <sheetData>
    <row r="1" ht="26" customHeight="1">
      <c r="A1" s="93" t="inlineStr">
        <is>
          <t>Plan comptable</t>
        </is>
      </c>
      <c r="F1" s="93" t="inlineStr">
        <is>
          <t>Codes TVA (dès 2024)</t>
        </is>
      </c>
      <c r="J1" s="93" t="inlineStr">
        <is>
          <t>Bonif. LPP par âge</t>
        </is>
      </c>
      <c r="M1" s="76" t="inlineStr">
        <is>
          <t>← Sommaire</t>
        </is>
      </c>
    </row>
    <row r="2"/>
    <row r="3">
      <c r="A3" s="94" t="inlineStr">
        <is>
          <t>Compte</t>
        </is>
      </c>
      <c r="B3" s="94" t="inlineStr">
        <is>
          <t>Libellé</t>
        </is>
      </c>
      <c r="C3" s="94" t="inlineStr">
        <is>
          <t>Type</t>
        </is>
      </c>
      <c r="D3" s="94" t="inlineStr">
        <is>
          <t>Base TVA</t>
        </is>
      </c>
      <c r="F3" s="94" t="inlineStr">
        <is>
          <t>Code</t>
        </is>
      </c>
      <c r="G3" s="94" t="inlineStr">
        <is>
          <t>Libellé</t>
        </is>
      </c>
      <c r="H3" s="94" t="inlineStr">
        <is>
          <t>Taux</t>
        </is>
      </c>
      <c r="J3" s="94" t="inlineStr">
        <is>
          <t>Âge</t>
        </is>
      </c>
      <c r="K3" s="94" t="inlineStr">
        <is>
          <t>Taux</t>
        </is>
      </c>
    </row>
    <row r="4">
      <c r="A4" s="95" t="inlineStr">
        <is>
          <t>1000</t>
        </is>
      </c>
      <c r="B4" s="96" t="inlineStr">
        <is>
          <t>Caisse</t>
        </is>
      </c>
      <c r="C4" s="95" t="inlineStr">
        <is>
          <t>Actif</t>
        </is>
      </c>
      <c r="D4" s="97" t="inlineStr">
        <is>
          <t>TTC</t>
        </is>
      </c>
      <c r="F4" s="95" t="inlineStr">
        <is>
          <t>N</t>
        </is>
      </c>
      <c r="G4" s="96" t="inlineStr">
        <is>
          <t>Normal (8.1%)</t>
        </is>
      </c>
      <c r="H4" s="98" t="n">
        <v>0.081</v>
      </c>
      <c r="J4" s="95" t="n">
        <v>25</v>
      </c>
      <c r="K4" s="99" t="n">
        <v>0.07000000000000001</v>
      </c>
    </row>
    <row r="5">
      <c r="A5" s="95" t="inlineStr">
        <is>
          <t>1020</t>
        </is>
      </c>
      <c r="B5" s="96" t="inlineStr">
        <is>
          <t>Banque</t>
        </is>
      </c>
      <c r="C5" s="95" t="inlineStr">
        <is>
          <t>Actif</t>
        </is>
      </c>
      <c r="D5" s="97" t="inlineStr">
        <is>
          <t>TTC</t>
        </is>
      </c>
      <c r="F5" s="95" t="inlineStr">
        <is>
          <t>R</t>
        </is>
      </c>
      <c r="G5" s="96" t="inlineStr">
        <is>
          <t>Réduit (2.6%)</t>
        </is>
      </c>
      <c r="H5" s="98" t="n">
        <v>0.026</v>
      </c>
      <c r="J5" s="95" t="n">
        <v>35</v>
      </c>
      <c r="K5" s="99" t="n">
        <v>0.1</v>
      </c>
    </row>
    <row r="6">
      <c r="A6" s="95" t="inlineStr">
        <is>
          <t>1100</t>
        </is>
      </c>
      <c r="B6" s="96" t="inlineStr">
        <is>
          <t>Créances clients (débiteurs)</t>
        </is>
      </c>
      <c r="C6" s="95" t="inlineStr">
        <is>
          <t>Actif</t>
        </is>
      </c>
      <c r="D6" s="97" t="inlineStr">
        <is>
          <t>TTC</t>
        </is>
      </c>
      <c r="F6" s="95" t="inlineStr">
        <is>
          <t>H</t>
        </is>
      </c>
      <c r="G6" s="96" t="inlineStr">
        <is>
          <t>Hébergement (3.8%)</t>
        </is>
      </c>
      <c r="H6" s="98" t="n">
        <v>0.038</v>
      </c>
      <c r="J6" s="95" t="n">
        <v>45</v>
      </c>
      <c r="K6" s="99" t="n">
        <v>0.15</v>
      </c>
    </row>
    <row r="7">
      <c r="A7" s="95" t="inlineStr">
        <is>
          <t>1176</t>
        </is>
      </c>
      <c r="B7" s="96" t="inlineStr">
        <is>
          <t>TVA – impôt préalable</t>
        </is>
      </c>
      <c r="C7" s="95" t="inlineStr">
        <is>
          <t>Actif</t>
        </is>
      </c>
      <c r="D7" s="97" t="inlineStr">
        <is>
          <t>TTC</t>
        </is>
      </c>
      <c r="F7" s="95" t="inlineStr">
        <is>
          <t>E</t>
        </is>
      </c>
      <c r="G7" s="96" t="inlineStr">
        <is>
          <t>Exclu / exonéré</t>
        </is>
      </c>
      <c r="H7" s="98" t="n">
        <v>0</v>
      </c>
      <c r="J7" s="95" t="n">
        <v>55</v>
      </c>
      <c r="K7" s="99" t="n">
        <v>0.18</v>
      </c>
    </row>
    <row r="8">
      <c r="A8" s="95" t="inlineStr">
        <is>
          <t>1200</t>
        </is>
      </c>
      <c r="B8" s="96" t="inlineStr">
        <is>
          <t>Stock de marchandises</t>
        </is>
      </c>
      <c r="C8" s="95" t="inlineStr">
        <is>
          <t>Actif</t>
        </is>
      </c>
      <c r="D8" s="97" t="inlineStr">
        <is>
          <t>HT</t>
        </is>
      </c>
    </row>
    <row r="9">
      <c r="A9" s="95" t="inlineStr">
        <is>
          <t>1300</t>
        </is>
      </c>
      <c r="B9" s="96" t="inlineStr">
        <is>
          <t>Actifs de régularisation</t>
        </is>
      </c>
      <c r="C9" s="95" t="inlineStr">
        <is>
          <t>Actif</t>
        </is>
      </c>
      <c r="D9" s="97" t="inlineStr">
        <is>
          <t>TTC</t>
        </is>
      </c>
      <c r="F9" s="93" t="inlineStr">
        <is>
          <t>Paramètres sociaux (indicatifs)</t>
        </is>
      </c>
    </row>
    <row r="10">
      <c r="A10" s="95" t="inlineStr">
        <is>
          <t>1500</t>
        </is>
      </c>
      <c r="B10" s="96" t="inlineStr">
        <is>
          <t>Machines &amp; équipements</t>
        </is>
      </c>
      <c r="C10" s="95" t="inlineStr">
        <is>
          <t>Actif</t>
        </is>
      </c>
      <c r="D10" s="97" t="inlineStr">
        <is>
          <t>HT</t>
        </is>
      </c>
    </row>
    <row r="11">
      <c r="A11" s="95" t="inlineStr">
        <is>
          <t>1510</t>
        </is>
      </c>
      <c r="B11" s="96" t="inlineStr">
        <is>
          <t>Mobilier &amp; installations</t>
        </is>
      </c>
      <c r="C11" s="95" t="inlineStr">
        <is>
          <t>Actif</t>
        </is>
      </c>
      <c r="D11" s="97" t="inlineStr">
        <is>
          <t>HT</t>
        </is>
      </c>
      <c r="F11" s="96" t="inlineStr">
        <is>
          <t>AVS/AI/APG – employé</t>
        </is>
      </c>
      <c r="H11" s="100" t="n">
        <v>0.053</v>
      </c>
    </row>
    <row r="12">
      <c r="A12" s="95" t="inlineStr">
        <is>
          <t>1530</t>
        </is>
      </c>
      <c r="B12" s="96" t="inlineStr">
        <is>
          <t>Véhicule utilitaire</t>
        </is>
      </c>
      <c r="C12" s="95" t="inlineStr">
        <is>
          <t>Actif</t>
        </is>
      </c>
      <c r="D12" s="97" t="inlineStr">
        <is>
          <t>HT</t>
        </is>
      </c>
      <c r="F12" s="96" t="inlineStr">
        <is>
          <t>Assurance chômage (AC)</t>
        </is>
      </c>
      <c r="H12" s="100" t="n">
        <v>0.011</v>
      </c>
    </row>
    <row r="13">
      <c r="A13" s="95" t="inlineStr">
        <is>
          <t>2000</t>
        </is>
      </c>
      <c r="B13" s="96" t="inlineStr">
        <is>
          <t>Dettes fournisseurs (créanciers)</t>
        </is>
      </c>
      <c r="C13" s="95" t="inlineStr">
        <is>
          <t>Passif</t>
        </is>
      </c>
      <c r="D13" s="97" t="inlineStr">
        <is>
          <t>TTC</t>
        </is>
      </c>
      <c r="F13" s="96" t="inlineStr">
        <is>
          <t>AC – plafond annuel</t>
        </is>
      </c>
      <c r="H13" s="101" t="n">
        <v>148200</v>
      </c>
    </row>
    <row r="14">
      <c r="A14" s="95" t="inlineStr">
        <is>
          <t>2200</t>
        </is>
      </c>
      <c r="B14" s="96" t="inlineStr">
        <is>
          <t>TVA due</t>
        </is>
      </c>
      <c r="C14" s="95" t="inlineStr">
        <is>
          <t>Passif</t>
        </is>
      </c>
      <c r="D14" s="97" t="inlineStr">
        <is>
          <t>TTC</t>
        </is>
      </c>
      <c r="F14" s="96" t="inlineStr">
        <is>
          <t>AANP – employé</t>
        </is>
      </c>
      <c r="H14" s="100" t="n">
        <v>0.014</v>
      </c>
    </row>
    <row r="15">
      <c r="A15" s="95" t="inlineStr">
        <is>
          <t>2270</t>
        </is>
      </c>
      <c r="B15" s="96" t="inlineStr">
        <is>
          <t>Dettes sociales (AVS, AC, LPP, AF)</t>
        </is>
      </c>
      <c r="C15" s="95" t="inlineStr">
        <is>
          <t>Passif</t>
        </is>
      </c>
      <c r="D15" s="97" t="inlineStr">
        <is>
          <t>TTC</t>
        </is>
      </c>
      <c r="F15" s="96" t="inlineStr">
        <is>
          <t>LPP – déduction coordination</t>
        </is>
      </c>
      <c r="H15" s="101" t="n">
        <v>26460</v>
      </c>
    </row>
    <row r="16">
      <c r="A16" s="95" t="inlineStr">
        <is>
          <t>2300</t>
        </is>
      </c>
      <c r="B16" s="96" t="inlineStr">
        <is>
          <t>Passifs de régularisation</t>
        </is>
      </c>
      <c r="C16" s="95" t="inlineStr">
        <is>
          <t>Passif</t>
        </is>
      </c>
      <c r="D16" s="97" t="inlineStr">
        <is>
          <t>TTC</t>
        </is>
      </c>
      <c r="F16" s="96" t="inlineStr">
        <is>
          <t>LPP – seuil d'entrée</t>
        </is>
      </c>
      <c r="H16" s="101" t="n">
        <v>22680</v>
      </c>
    </row>
    <row r="17">
      <c r="A17" s="95" t="inlineStr">
        <is>
          <t>2330</t>
        </is>
      </c>
      <c r="B17" s="96" t="inlineStr">
        <is>
          <t>Provision pour impôts directs</t>
        </is>
      </c>
      <c r="C17" s="95" t="inlineStr">
        <is>
          <t>Passif</t>
        </is>
      </c>
      <c r="D17" s="97" t="inlineStr">
        <is>
          <t>TTC</t>
        </is>
      </c>
      <c r="F17" s="96" t="inlineStr">
        <is>
          <t>LPP – salaire assuré maximal</t>
        </is>
      </c>
      <c r="H17" s="102" t="n">
        <v>90720</v>
      </c>
    </row>
    <row r="18">
      <c r="A18" s="95" t="inlineStr">
        <is>
          <t>2450</t>
        </is>
      </c>
      <c r="B18" s="96" t="inlineStr">
        <is>
          <t>Emprunt bancaire</t>
        </is>
      </c>
      <c r="C18" s="95" t="inlineStr">
        <is>
          <t>Passif</t>
        </is>
      </c>
      <c r="D18" s="97" t="inlineStr">
        <is>
          <t>TTC</t>
        </is>
      </c>
      <c r="F18" s="96" t="inlineStr">
        <is>
          <t>CAF – allocations familiales, employeur (ECAS FR)</t>
        </is>
      </c>
      <c r="H18" s="100" t="n">
        <v>0.0227</v>
      </c>
    </row>
    <row r="19">
      <c r="A19" s="95" t="inlineStr">
        <is>
          <t>2800</t>
        </is>
      </c>
      <c r="B19" s="96" t="inlineStr">
        <is>
          <t>Capital social</t>
        </is>
      </c>
      <c r="C19" s="95" t="inlineStr">
        <is>
          <t>Passif</t>
        </is>
      </c>
      <c r="D19" s="97" t="inlineStr">
        <is>
          <t>TTC</t>
        </is>
      </c>
      <c r="F19" s="96" t="inlineStr">
        <is>
          <t>AAP – accidents prof., employeur (hypothèse assureur)</t>
        </is>
      </c>
      <c r="H19" s="98" t="n">
        <v>0.008</v>
      </c>
    </row>
    <row r="20">
      <c r="A20" s="95" t="inlineStr">
        <is>
          <t>2979</t>
        </is>
      </c>
      <c r="B20" s="96" t="inlineStr">
        <is>
          <t>Bénéfice reporté</t>
        </is>
      </c>
      <c r="C20" s="95" t="inlineStr">
        <is>
          <t>Passif</t>
        </is>
      </c>
      <c r="D20" s="97" t="inlineStr">
        <is>
          <t>TTC</t>
        </is>
      </c>
      <c r="F20" s="96" t="inlineStr">
        <is>
          <t>Frais d'administration ECAS (% des cotisations AVS/AI/APG)</t>
        </is>
      </c>
      <c r="H20" s="98" t="n">
        <v>0.043</v>
      </c>
    </row>
    <row r="21">
      <c r="A21" s="95" t="inlineStr">
        <is>
          <t>3000</t>
        </is>
      </c>
      <c r="B21" s="96" t="inlineStr">
        <is>
          <t>Prestations de services</t>
        </is>
      </c>
      <c r="C21" s="95" t="inlineStr">
        <is>
          <t>Produit</t>
        </is>
      </c>
      <c r="D21" s="97" t="inlineStr">
        <is>
          <t>HT</t>
        </is>
      </c>
      <c r="F21" s="96" t="inlineStr">
        <is>
          <t>Fonds cantonaux FR : LFP + LStE, employeur</t>
        </is>
      </c>
      <c r="H21" s="100" t="n">
        <v>0.0008</v>
      </c>
    </row>
    <row r="22">
      <c r="A22" s="95" t="inlineStr">
        <is>
          <t>3200</t>
        </is>
      </c>
      <c r="B22" s="96" t="inlineStr">
        <is>
          <t>Ventes de marchandises</t>
        </is>
      </c>
      <c r="C22" s="95" t="inlineStr">
        <is>
          <t>Produit</t>
        </is>
      </c>
      <c r="D22" s="97" t="inlineStr">
        <is>
          <t>HT</t>
        </is>
      </c>
      <c r="F22" s="103" t="n"/>
    </row>
    <row r="23">
      <c r="A23" s="95" t="inlineStr">
        <is>
          <t>4000</t>
        </is>
      </c>
      <c r="B23" s="96" t="inlineStr">
        <is>
          <t>Achats de marchandises</t>
        </is>
      </c>
      <c r="C23" s="95" t="inlineStr">
        <is>
          <t>Charge</t>
        </is>
      </c>
      <c r="D23" s="97" t="inlineStr">
        <is>
          <t>HT</t>
        </is>
      </c>
      <c r="F23" s="103" t="inlineStr">
        <is>
          <t>AVS/AI/APG, AC, LPP : valeurs 2025 (OFAS). CAF, fonds LFP/LStE et frais d'administration : barème ECAS Fribourg (ecasfr.ch, masse salariale &lt; CHF 200'000). AANP et AAP : taux de l'assureur, hypothèses.</t>
        </is>
      </c>
    </row>
    <row r="24">
      <c r="A24" s="95" t="inlineStr">
        <is>
          <t>5000</t>
        </is>
      </c>
      <c r="B24" s="96" t="inlineStr">
        <is>
          <t>Salaires</t>
        </is>
      </c>
      <c r="C24" s="95" t="inlineStr">
        <is>
          <t>Charge</t>
        </is>
      </c>
      <c r="D24" s="97" t="inlineStr">
        <is>
          <t>HT</t>
        </is>
      </c>
    </row>
    <row r="25">
      <c r="A25" s="95" t="inlineStr">
        <is>
          <t>5700</t>
        </is>
      </c>
      <c r="B25" s="96" t="inlineStr">
        <is>
          <t>Charges sociales</t>
        </is>
      </c>
      <c r="C25" s="95" t="inlineStr">
        <is>
          <t>Charge</t>
        </is>
      </c>
      <c r="D25" s="97" t="inlineStr">
        <is>
          <t>HT</t>
        </is>
      </c>
    </row>
    <row r="26">
      <c r="A26" s="95" t="inlineStr">
        <is>
          <t>6000</t>
        </is>
      </c>
      <c r="B26" s="96" t="inlineStr">
        <is>
          <t>Loyer &amp; charges</t>
        </is>
      </c>
      <c r="C26" s="95" t="inlineStr">
        <is>
          <t>Charge</t>
        </is>
      </c>
      <c r="D26" s="97" t="inlineStr">
        <is>
          <t>HT</t>
        </is>
      </c>
    </row>
    <row r="27">
      <c r="A27" s="95" t="inlineStr">
        <is>
          <t>6500</t>
        </is>
      </c>
      <c r="B27" s="96" t="inlineStr">
        <is>
          <t>Administration</t>
        </is>
      </c>
      <c r="C27" s="95" t="inlineStr">
        <is>
          <t>Charge</t>
        </is>
      </c>
      <c r="D27" s="97" t="inlineStr">
        <is>
          <t>HT</t>
        </is>
      </c>
    </row>
    <row r="28">
      <c r="A28" s="95" t="inlineStr">
        <is>
          <t>6570</t>
        </is>
      </c>
      <c r="B28" s="96" t="inlineStr">
        <is>
          <t>Informatique</t>
        </is>
      </c>
      <c r="C28" s="95" t="inlineStr">
        <is>
          <t>Charge</t>
        </is>
      </c>
      <c r="D28" s="97" t="inlineStr">
        <is>
          <t>HT</t>
        </is>
      </c>
    </row>
    <row r="29">
      <c r="A29" s="95" t="inlineStr">
        <is>
          <t>6600</t>
        </is>
      </c>
      <c r="B29" s="96" t="inlineStr">
        <is>
          <t>Publicité &amp; marketing</t>
        </is>
      </c>
      <c r="C29" s="95" t="inlineStr">
        <is>
          <t>Charge</t>
        </is>
      </c>
      <c r="D29" s="97" t="inlineStr">
        <is>
          <t>HT</t>
        </is>
      </c>
    </row>
    <row r="30">
      <c r="A30" s="95" t="inlineStr">
        <is>
          <t>6800</t>
        </is>
      </c>
      <c r="B30" s="96" t="inlineStr">
        <is>
          <t>Amortissements</t>
        </is>
      </c>
      <c r="C30" s="95" t="inlineStr">
        <is>
          <t>Charge</t>
        </is>
      </c>
      <c r="D30" s="97" t="inlineStr">
        <is>
          <t>HT</t>
        </is>
      </c>
    </row>
    <row r="31">
      <c r="A31" s="95" t="inlineStr">
        <is>
          <t>6900</t>
        </is>
      </c>
      <c r="B31" s="96" t="inlineStr">
        <is>
          <t>Charges financières</t>
        </is>
      </c>
      <c r="C31" s="95" t="inlineStr">
        <is>
          <t>Charge</t>
        </is>
      </c>
      <c r="D31" s="97" t="inlineStr">
        <is>
          <t>HT</t>
        </is>
      </c>
    </row>
    <row r="32">
      <c r="A32" s="95" t="inlineStr">
        <is>
          <t>8900</t>
        </is>
      </c>
      <c r="B32" s="96" t="inlineStr">
        <is>
          <t>Impôts directs</t>
        </is>
      </c>
      <c r="C32" s="95" t="inlineStr">
        <is>
          <t>Charge</t>
        </is>
      </c>
      <c r="D32" s="97" t="inlineStr">
        <is>
          <t>HT</t>
        </is>
      </c>
    </row>
    <row r="33"/>
    <row r="34">
      <c r="A34" s="104" t="inlineStr">
        <is>
          <t>Base TVA : HT = compte imputé au montant HT (produits, charges, stock, immobilisations) ; TTC = compte de contrepartie imputé au montant TTC (liquidités, débiteurs, créanciers…). La TVA d'une ligne va sur 2200 (ventes) ou 1176 (achats).</t>
        </is>
      </c>
    </row>
    <row r="35"/>
    <row r="36"/>
  </sheetData>
  <mergeCells count="1">
    <mergeCell ref="A34:D36"/>
  </mergeCells>
  <hyperlinks>
    <hyperlink ref="M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O152"/>
  <sheetViews>
    <sheetView showGridLines="0" zoomScale="10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.4" customWidth="1" min="1" max="1"/>
    <col width="13" customWidth="1" min="2" max="2"/>
    <col width="74.90000000000001" customWidth="1" min="3" max="3"/>
    <col width="19.1" customWidth="1" min="4" max="4"/>
    <col width="9.699999999999999" customWidth="1" min="5" max="5"/>
    <col width="13" customWidth="1" min="6" max="6"/>
    <col width="18.7" customWidth="1" min="7" max="7"/>
    <col width="7.7" customWidth="1" min="8" max="8"/>
    <col width="15.6" customWidth="1" min="9" max="9"/>
    <col width="17.6" customWidth="1" min="10" max="10"/>
    <col width="18.7" customWidth="1" min="11" max="11"/>
    <col width="9" customWidth="1" min="12" max="12"/>
    <col width="13" customWidth="1" min="14" max="14"/>
  </cols>
  <sheetData>
    <row r="1" ht="26" customHeight="1">
      <c r="A1" s="94" t="inlineStr">
        <is>
          <t>Date</t>
        </is>
      </c>
      <c r="B1" s="94" t="inlineStr">
        <is>
          <t>Pièce</t>
        </is>
      </c>
      <c r="C1" s="94" t="inlineStr">
        <is>
          <t>Libellé</t>
        </is>
      </c>
      <c r="D1" s="94" t="inlineStr">
        <is>
          <t>Nature</t>
        </is>
      </c>
      <c r="E1" s="94" t="inlineStr">
        <is>
          <t>Débit</t>
        </is>
      </c>
      <c r="F1" s="94" t="inlineStr">
        <is>
          <t>Crédit</t>
        </is>
      </c>
      <c r="G1" s="94" t="inlineStr">
        <is>
          <t>Montant HT</t>
        </is>
      </c>
      <c r="H1" s="94" t="inlineStr">
        <is>
          <t>Code</t>
        </is>
      </c>
      <c r="I1" s="94" t="inlineStr">
        <is>
          <t>Taux</t>
        </is>
      </c>
      <c r="J1" s="94" t="inlineStr">
        <is>
          <t>TVA CHF</t>
        </is>
      </c>
      <c r="K1" s="94" t="inlineStr">
        <is>
          <t>Montant TTC</t>
        </is>
      </c>
      <c r="L1" s="94" t="inlineStr">
        <is>
          <t>Cpte TVA</t>
        </is>
      </c>
      <c r="N1" s="76" t="inlineStr">
        <is>
          <t>← Sommaire</t>
        </is>
      </c>
    </row>
    <row r="2">
      <c r="A2" s="105" t="n">
        <v>45658</v>
      </c>
      <c r="B2" s="106" t="inlineStr">
        <is>
          <t>2025-001</t>
        </is>
      </c>
      <c r="C2" s="106" t="inlineStr">
        <is>
          <t>Apport de capital</t>
        </is>
      </c>
      <c r="D2" s="106" t="inlineStr">
        <is>
          <t>Ouverture</t>
        </is>
      </c>
      <c r="E2" s="107" t="inlineStr">
        <is>
          <t>1020</t>
        </is>
      </c>
      <c r="F2" s="107" t="inlineStr">
        <is>
          <t>2800</t>
        </is>
      </c>
      <c r="G2" s="108" t="n">
        <v>90000</v>
      </c>
      <c r="H2" s="107" t="inlineStr">
        <is>
          <t>E</t>
        </is>
      </c>
      <c r="I2" s="109">
        <f>IFERROR(INDEX(TVA_taux,MATCH(H2,TVA_codes,0)),0)</f>
        <v>0</v>
      </c>
      <c r="J2" s="108">
        <f>ROUND(G2*I2,2)</f>
        <v>0</v>
      </c>
      <c r="K2" s="108">
        <f>G2+J2</f>
        <v>90000</v>
      </c>
      <c r="L2" s="107">
        <f>IF(J2=0,"",IF(INDEX(Base,MATCH(E2,Comptes,0))="HT","1176",IF(INDEX(Base,MATCH(F2,Comptes,0))="HT","2200","ERREUR")))</f>
        <v/>
      </c>
    </row>
    <row r="3">
      <c r="A3" s="105" t="n">
        <v>45658</v>
      </c>
      <c r="B3" s="106" t="inlineStr">
        <is>
          <t>2025-002</t>
        </is>
      </c>
      <c r="C3" s="106" t="inlineStr">
        <is>
          <t>Emprunt bancaire (5 ans, 4.5%)</t>
        </is>
      </c>
      <c r="D3" s="106" t="inlineStr">
        <is>
          <t>Ouverture</t>
        </is>
      </c>
      <c r="E3" s="107" t="inlineStr">
        <is>
          <t>1020</t>
        </is>
      </c>
      <c r="F3" s="107" t="inlineStr">
        <is>
          <t>2450</t>
        </is>
      </c>
      <c r="G3" s="108" t="n">
        <v>40000</v>
      </c>
      <c r="H3" s="107" t="inlineStr">
        <is>
          <t>E</t>
        </is>
      </c>
      <c r="I3" s="109">
        <f>IFERROR(INDEX(TVA_taux,MATCH(H3,TVA_codes,0)),0)</f>
        <v>0</v>
      </c>
      <c r="J3" s="108">
        <f>ROUND(G3*I3,2)</f>
        <v>0</v>
      </c>
      <c r="K3" s="108">
        <f>G3+J3</f>
        <v>40000</v>
      </c>
      <c r="L3" s="107">
        <f>IF(J3=0,"",IF(INDEX(Base,MATCH(E3,Comptes,0))="HT","1176",IF(INDEX(Base,MATCH(F3,Comptes,0))="HT","2200","ERREUR")))</f>
        <v/>
      </c>
    </row>
    <row r="4">
      <c r="A4" s="105" t="n">
        <v>45659</v>
      </c>
      <c r="B4" s="106" t="inlineStr">
        <is>
          <t>2025-003</t>
        </is>
      </c>
      <c r="C4" s="106" t="inlineStr">
        <is>
          <t>Acquisition machine CNC</t>
        </is>
      </c>
      <c r="D4" s="106" t="inlineStr">
        <is>
          <t>Investissement</t>
        </is>
      </c>
      <c r="E4" s="107" t="inlineStr">
        <is>
          <t>1500</t>
        </is>
      </c>
      <c r="F4" s="107" t="inlineStr">
        <is>
          <t>1020</t>
        </is>
      </c>
      <c r="G4" s="108" t="n">
        <v>30000</v>
      </c>
      <c r="H4" s="107" t="inlineStr">
        <is>
          <t>N</t>
        </is>
      </c>
      <c r="I4" s="109">
        <f>IFERROR(INDEX(TVA_taux,MATCH(H4,TVA_codes,0)),0)</f>
        <v>0.081</v>
      </c>
      <c r="J4" s="108">
        <f>ROUND(G4*I4,2)</f>
        <v>2430</v>
      </c>
      <c r="K4" s="108">
        <f>G4+J4</f>
        <v>32430</v>
      </c>
      <c r="L4" s="107" t="str">
        <f>IF(J4=0,"",IF(INDEX(Base,MATCH(E4,Comptes,0))="HT","1176",IF(INDEX(Base,MATCH(F4,Comptes,0))="HT","2200","ERREUR")))</f>
        <v>1176</v>
      </c>
    </row>
    <row r="5">
      <c r="A5" s="105" t="n">
        <v>45659</v>
      </c>
      <c r="B5" s="106" t="inlineStr">
        <is>
          <t>2025-004</t>
        </is>
      </c>
      <c r="C5" s="106" t="inlineStr">
        <is>
          <t>Mobilier &amp; installations</t>
        </is>
      </c>
      <c r="D5" s="106" t="inlineStr">
        <is>
          <t>Investissement</t>
        </is>
      </c>
      <c r="E5" s="107" t="inlineStr">
        <is>
          <t>1510</t>
        </is>
      </c>
      <c r="F5" s="107" t="inlineStr">
        <is>
          <t>1020</t>
        </is>
      </c>
      <c r="G5" s="108" t="n">
        <v>8000</v>
      </c>
      <c r="H5" s="107" t="inlineStr">
        <is>
          <t>N</t>
        </is>
      </c>
      <c r="I5" s="109">
        <f>IFERROR(INDEX(TVA_taux,MATCH(H5,TVA_codes,0)),0)</f>
        <v>0.081</v>
      </c>
      <c r="J5" s="108">
        <f>ROUND(G5*I5,2)</f>
        <v>648</v>
      </c>
      <c r="K5" s="108">
        <f>G5+J5</f>
        <v>8648</v>
      </c>
      <c r="L5" s="107" t="str">
        <f>IF(J5=0,"",IF(INDEX(Base,MATCH(E5,Comptes,0))="HT","1176",IF(INDEX(Base,MATCH(F5,Comptes,0))="HT","2200","ERREUR")))</f>
        <v>1176</v>
      </c>
    </row>
    <row r="6">
      <c r="A6" s="105" t="n">
        <v>45659</v>
      </c>
      <c r="B6" s="106" t="inlineStr">
        <is>
          <t>2025-005</t>
        </is>
      </c>
      <c r="C6" s="106" t="inlineStr">
        <is>
          <t>Véhicule utilitaire</t>
        </is>
      </c>
      <c r="D6" s="106" t="inlineStr">
        <is>
          <t>Investissement</t>
        </is>
      </c>
      <c r="E6" s="107" t="inlineStr">
        <is>
          <t>1530</t>
        </is>
      </c>
      <c r="F6" s="107" t="inlineStr">
        <is>
          <t>1020</t>
        </is>
      </c>
      <c r="G6" s="108" t="n">
        <v>24000</v>
      </c>
      <c r="H6" s="107" t="inlineStr">
        <is>
          <t>N</t>
        </is>
      </c>
      <c r="I6" s="109">
        <f>IFERROR(INDEX(TVA_taux,MATCH(H6,TVA_codes,0)),0)</f>
        <v>0.081</v>
      </c>
      <c r="J6" s="108">
        <f>ROUND(G6*I6,2)</f>
        <v>1944</v>
      </c>
      <c r="K6" s="108">
        <f>G6+J6</f>
        <v>25944</v>
      </c>
      <c r="L6" s="107" t="str">
        <f>IF(J6=0,"",IF(INDEX(Base,MATCH(E6,Comptes,0))="HT","1176",IF(INDEX(Base,MATCH(F6,Comptes,0))="HT","2200","ERREUR")))</f>
        <v>1176</v>
      </c>
    </row>
    <row r="7">
      <c r="A7" s="105" t="n">
        <v>45660</v>
      </c>
      <c r="B7" s="106" t="inlineStr">
        <is>
          <t>2025-006</t>
        </is>
      </c>
      <c r="C7" s="106" t="inlineStr">
        <is>
          <t>Constitution du stock initial</t>
        </is>
      </c>
      <c r="D7" s="106" t="inlineStr">
        <is>
          <t>Investissement</t>
        </is>
      </c>
      <c r="E7" s="107" t="inlineStr">
        <is>
          <t>1200</t>
        </is>
      </c>
      <c r="F7" s="107" t="inlineStr">
        <is>
          <t>1020</t>
        </is>
      </c>
      <c r="G7" s="108" t="n">
        <v>5000</v>
      </c>
      <c r="H7" s="107" t="inlineStr">
        <is>
          <t>N</t>
        </is>
      </c>
      <c r="I7" s="109">
        <f>IFERROR(INDEX(TVA_taux,MATCH(H7,TVA_codes,0)),0)</f>
        <v>0.081</v>
      </c>
      <c r="J7" s="108">
        <f>ROUND(G7*I7,2)</f>
        <v>405</v>
      </c>
      <c r="K7" s="108">
        <f>G7+J7</f>
        <v>5405</v>
      </c>
      <c r="L7" s="107" t="str">
        <f>IF(J7=0,"",IF(INDEX(Base,MATCH(E7,Comptes,0))="HT","1176",IF(INDEX(Base,MATCH(F7,Comptes,0))="HT","2200","ERREUR")))</f>
        <v>1176</v>
      </c>
    </row>
    <row r="8">
      <c r="A8" s="105" t="n">
        <v>45662</v>
      </c>
      <c r="B8" s="106" t="inlineStr">
        <is>
          <t>2025-007</t>
        </is>
      </c>
      <c r="C8" s="106" t="inlineStr">
        <is>
          <t>Prestations d'atelier</t>
        </is>
      </c>
      <c r="D8" s="106" t="inlineStr">
        <is>
          <t>Vente</t>
        </is>
      </c>
      <c r="E8" s="107" t="inlineStr">
        <is>
          <t>1100</t>
        </is>
      </c>
      <c r="F8" s="107" t="inlineStr">
        <is>
          <t>3000</t>
        </is>
      </c>
      <c r="G8" s="108" t="n">
        <v>9800</v>
      </c>
      <c r="H8" s="107" t="inlineStr">
        <is>
          <t>N</t>
        </is>
      </c>
      <c r="I8" s="109">
        <f>IFERROR(INDEX(TVA_taux,MATCH(H8,TVA_codes,0)),0)</f>
        <v>0.081</v>
      </c>
      <c r="J8" s="108">
        <f>ROUND(G8*I8,2)</f>
        <v>793.8</v>
      </c>
      <c r="K8" s="108">
        <f>G8+J8</f>
        <v>10593.8</v>
      </c>
      <c r="L8" s="107" t="str">
        <f>IF(J8=0,"",IF(INDEX(Base,MATCH(E8,Comptes,0))="HT","1176",IF(INDEX(Base,MATCH(F8,Comptes,0))="HT","2200","ERREUR")))</f>
        <v>2200</v>
      </c>
    </row>
    <row r="9">
      <c r="A9" s="105" t="n">
        <v>45662</v>
      </c>
      <c r="B9" s="106" t="inlineStr">
        <is>
          <t>2025-008</t>
        </is>
      </c>
      <c r="C9" s="106" t="inlineStr">
        <is>
          <t>Achats matières &amp; marchandises</t>
        </is>
      </c>
      <c r="D9" s="106" t="inlineStr">
        <is>
          <t>Achat</t>
        </is>
      </c>
      <c r="E9" s="107" t="inlineStr">
        <is>
          <t>4000</t>
        </is>
      </c>
      <c r="F9" s="107" t="inlineStr">
        <is>
          <t>2000</t>
        </is>
      </c>
      <c r="G9" s="108" t="n">
        <v>3100</v>
      </c>
      <c r="H9" s="107" t="inlineStr">
        <is>
          <t>N</t>
        </is>
      </c>
      <c r="I9" s="109">
        <f>IFERROR(INDEX(TVA_taux,MATCH(H9,TVA_codes,0)),0)</f>
        <v>0.081</v>
      </c>
      <c r="J9" s="108">
        <f>ROUND(G9*I9,2)</f>
        <v>251.1</v>
      </c>
      <c r="K9" s="108">
        <f>G9+J9</f>
        <v>3351.1</v>
      </c>
      <c r="L9" s="107" t="str">
        <f>IF(J9=0,"",IF(INDEX(Base,MATCH(E9,Comptes,0))="HT","1176",IF(INDEX(Base,MATCH(F9,Comptes,0))="HT","2200","ERREUR")))</f>
        <v>1176</v>
      </c>
    </row>
    <row r="10">
      <c r="A10" s="105" t="n">
        <v>45672</v>
      </c>
      <c r="B10" s="106" t="inlineStr">
        <is>
          <t>2025-009</t>
        </is>
      </c>
      <c r="C10" s="106" t="inlineStr">
        <is>
          <t>Ventes de mobilier</t>
        </is>
      </c>
      <c r="D10" s="106" t="inlineStr">
        <is>
          <t>Vente</t>
        </is>
      </c>
      <c r="E10" s="107" t="inlineStr">
        <is>
          <t>1100</t>
        </is>
      </c>
      <c r="F10" s="107" t="inlineStr">
        <is>
          <t>3200</t>
        </is>
      </c>
      <c r="G10" s="108" t="n">
        <v>4200</v>
      </c>
      <c r="H10" s="107" t="inlineStr">
        <is>
          <t>N</t>
        </is>
      </c>
      <c r="I10" s="109">
        <f>IFERROR(INDEX(TVA_taux,MATCH(H10,TVA_codes,0)),0)</f>
        <v>0.081</v>
      </c>
      <c r="J10" s="108">
        <f>ROUND(G10*I10,2)</f>
        <v>340.2</v>
      </c>
      <c r="K10" s="108">
        <f>G10+J10</f>
        <v>4540.2</v>
      </c>
      <c r="L10" s="107" t="str">
        <f>IF(J10=0,"",IF(INDEX(Base,MATCH(E10,Comptes,0))="HT","1176",IF(INDEX(Base,MATCH(F10,Comptes,0))="HT","2200","ERREUR")))</f>
        <v>2200</v>
      </c>
    </row>
    <row r="11">
      <c r="A11" s="105" t="n">
        <v>45672</v>
      </c>
      <c r="B11" s="106" t="inlineStr">
        <is>
          <t>2025-010</t>
        </is>
      </c>
      <c r="C11" s="106" t="inlineStr">
        <is>
          <t>Fournitures &amp; administration</t>
        </is>
      </c>
      <c r="D11" s="106" t="inlineStr">
        <is>
          <t>Charge</t>
        </is>
      </c>
      <c r="E11" s="107" t="inlineStr">
        <is>
          <t>6500</t>
        </is>
      </c>
      <c r="F11" s="107" t="inlineStr">
        <is>
          <t>1020</t>
        </is>
      </c>
      <c r="G11" s="108" t="n">
        <v>220</v>
      </c>
      <c r="H11" s="107" t="inlineStr">
        <is>
          <t>N</t>
        </is>
      </c>
      <c r="I11" s="109">
        <f>IFERROR(INDEX(TVA_taux,MATCH(H11,TVA_codes,0)),0)</f>
        <v>0.081</v>
      </c>
      <c r="J11" s="108">
        <f>ROUND(G11*I11,2)</f>
        <v>17.82</v>
      </c>
      <c r="K11" s="108">
        <f>G11+J11</f>
        <v>237.82</v>
      </c>
      <c r="L11" s="107" t="str">
        <f>IF(J11=0,"",IF(INDEX(Base,MATCH(E11,Comptes,0))="HT","1176",IF(INDEX(Base,MATCH(F11,Comptes,0))="HT","2200","ERREUR")))</f>
        <v>1176</v>
      </c>
    </row>
    <row r="12">
      <c r="A12" s="105" t="n">
        <v>45672</v>
      </c>
      <c r="B12" s="106" t="inlineStr">
        <is>
          <t>2025-011</t>
        </is>
      </c>
      <c r="C12" s="106" t="inlineStr">
        <is>
          <t>Abonnements &amp; informatique</t>
        </is>
      </c>
      <c r="D12" s="106" t="inlineStr">
        <is>
          <t>Charge</t>
        </is>
      </c>
      <c r="E12" s="107" t="inlineStr">
        <is>
          <t>6570</t>
        </is>
      </c>
      <c r="F12" s="107" t="inlineStr">
        <is>
          <t>1020</t>
        </is>
      </c>
      <c r="G12" s="108" t="n">
        <v>480</v>
      </c>
      <c r="H12" s="107" t="inlineStr">
        <is>
          <t>N</t>
        </is>
      </c>
      <c r="I12" s="109">
        <f>IFERROR(INDEX(TVA_taux,MATCH(H12,TVA_codes,0)),0)</f>
        <v>0.081</v>
      </c>
      <c r="J12" s="108">
        <f>ROUND(G12*I12,2)</f>
        <v>38.88</v>
      </c>
      <c r="K12" s="108">
        <f>G12+J12</f>
        <v>518.88</v>
      </c>
      <c r="L12" s="107" t="str">
        <f>IF(J12=0,"",IF(INDEX(Base,MATCH(E12,Comptes,0))="HT","1176",IF(INDEX(Base,MATCH(F12,Comptes,0))="HT","2200","ERREUR")))</f>
        <v>1176</v>
      </c>
    </row>
    <row r="13">
      <c r="A13" s="105" t="n">
        <v>45682</v>
      </c>
      <c r="B13" s="106" t="inlineStr">
        <is>
          <t>2025-012</t>
        </is>
      </c>
      <c r="C13" s="106" t="inlineStr">
        <is>
          <t>Loyer atelier</t>
        </is>
      </c>
      <c r="D13" s="106" t="inlineStr">
        <is>
          <t>Charge</t>
        </is>
      </c>
      <c r="E13" s="107" t="inlineStr">
        <is>
          <t>6000</t>
        </is>
      </c>
      <c r="F13" s="107" t="inlineStr">
        <is>
          <t>1020</t>
        </is>
      </c>
      <c r="G13" s="108" t="n">
        <v>1800</v>
      </c>
      <c r="H13" s="107" t="inlineStr">
        <is>
          <t>E</t>
        </is>
      </c>
      <c r="I13" s="109">
        <f>IFERROR(INDEX(TVA_taux,MATCH(H13,TVA_codes,0)),0)</f>
        <v>0</v>
      </c>
      <c r="J13" s="108">
        <f>ROUND(G13*I13,2)</f>
        <v>0</v>
      </c>
      <c r="K13" s="108">
        <f>G13+J13</f>
        <v>1800</v>
      </c>
      <c r="L13" s="107">
        <f>IF(J13=0,"",IF(INDEX(Base,MATCH(E13,Comptes,0))="HT","1176",IF(INDEX(Base,MATCH(F13,Comptes,0))="HT","2200","ERREUR")))</f>
        <v/>
      </c>
    </row>
    <row r="14">
      <c r="A14" s="105" t="n">
        <v>45682</v>
      </c>
      <c r="B14" s="106" t="inlineStr">
        <is>
          <t>2025-013</t>
        </is>
      </c>
      <c r="C14" s="106" t="inlineStr">
        <is>
          <t>Salaires bruts du mois (décompte)</t>
        </is>
      </c>
      <c r="D14" s="106" t="inlineStr">
        <is>
          <t>Salaire</t>
        </is>
      </c>
      <c r="E14" s="107" t="inlineStr">
        <is>
          <t>5000</t>
        </is>
      </c>
      <c r="F14" s="107" t="inlineStr">
        <is>
          <t>2270</t>
        </is>
      </c>
      <c r="G14" s="108" t="n">
        <v>8500</v>
      </c>
      <c r="H14" s="107" t="inlineStr">
        <is>
          <t>E</t>
        </is>
      </c>
      <c r="I14" s="109">
        <f>IFERROR(INDEX(TVA_taux,MATCH(H14,TVA_codes,0)),0)</f>
        <v>0</v>
      </c>
      <c r="J14" s="108">
        <f>ROUND(G14*I14,2)</f>
        <v>0</v>
      </c>
      <c r="K14" s="108">
        <f>G14+J14</f>
        <v>8500</v>
      </c>
      <c r="L14" s="107">
        <f>IF(J14=0,"",IF(INDEX(Base,MATCH(E14,Comptes,0))="HT","1176",IF(INDEX(Base,MATCH(F14,Comptes,0))="HT","2200","ERREUR")))</f>
        <v/>
      </c>
    </row>
    <row r="15">
      <c r="A15" s="105" t="n">
        <v>45682</v>
      </c>
      <c r="B15" s="106" t="inlineStr">
        <is>
          <t>2025-014</t>
        </is>
      </c>
      <c r="C15" s="106" t="inlineStr">
        <is>
          <t>Salaires nets versés</t>
        </is>
      </c>
      <c r="D15" s="106" t="inlineStr">
        <is>
          <t>Salaire</t>
        </is>
      </c>
      <c r="E15" s="107" t="inlineStr">
        <is>
          <t>2270</t>
        </is>
      </c>
      <c r="F15" s="107" t="inlineStr">
        <is>
          <t>1020</t>
        </is>
      </c>
      <c r="G15" s="108" t="n">
        <v>7725.07</v>
      </c>
      <c r="H15" s="107" t="inlineStr">
        <is>
          <t>E</t>
        </is>
      </c>
      <c r="I15" s="109">
        <f>IFERROR(INDEX(TVA_taux,MATCH(H15,TVA_codes,0)),0)</f>
        <v>0</v>
      </c>
      <c r="J15" s="108">
        <f>ROUND(G15*I15,2)</f>
        <v>0</v>
      </c>
      <c r="K15" s="108">
        <f>G15+J15</f>
        <v>7725.07</v>
      </c>
      <c r="L15" s="107">
        <f>IF(J15=0,"",IF(INDEX(Base,MATCH(E15,Comptes,0))="HT","1176",IF(INDEX(Base,MATCH(F15,Comptes,0))="HT","2200","ERREUR")))</f>
        <v/>
      </c>
    </row>
    <row r="16">
      <c r="A16" s="105" t="n">
        <v>45682</v>
      </c>
      <c r="B16" s="106" t="inlineStr">
        <is>
          <t>2025-015</t>
        </is>
      </c>
      <c r="C16" s="106" t="inlineStr">
        <is>
          <t>Charges sociales patronales du mois (décompte)</t>
        </is>
      </c>
      <c r="D16" s="106" t="inlineStr">
        <is>
          <t>Salaire</t>
        </is>
      </c>
      <c r="E16" s="107" t="inlineStr">
        <is>
          <t>5700</t>
        </is>
      </c>
      <c r="F16" s="107" t="inlineStr">
        <is>
          <t>2270</t>
        </is>
      </c>
      <c r="G16" s="108" t="n">
        <v>962.42</v>
      </c>
      <c r="H16" s="107" t="inlineStr">
        <is>
          <t>E</t>
        </is>
      </c>
      <c r="I16" s="109">
        <f>IFERROR(INDEX(TVA_taux,MATCH(H16,TVA_codes,0)),0)</f>
        <v>0</v>
      </c>
      <c r="J16" s="108">
        <f>ROUND(G16*I16,2)</f>
        <v>0</v>
      </c>
      <c r="K16" s="108">
        <f>G16+J16</f>
        <v>962.42</v>
      </c>
      <c r="L16" s="107">
        <f>IF(J16=0,"",IF(INDEX(Base,MATCH(E16,Comptes,0))="HT","1176",IF(INDEX(Base,MATCH(F16,Comptes,0))="HT","2200","ERREUR")))</f>
        <v/>
      </c>
    </row>
    <row r="17">
      <c r="A17" s="105" t="n">
        <v>45684</v>
      </c>
      <c r="B17" s="106" t="inlineStr">
        <is>
          <t>2025-016</t>
        </is>
      </c>
      <c r="C17" s="106" t="inlineStr">
        <is>
          <t>Paiement fournisseurs</t>
        </is>
      </c>
      <c r="D17" s="106" t="inlineStr">
        <is>
          <t>Règlement</t>
        </is>
      </c>
      <c r="E17" s="107" t="inlineStr">
        <is>
          <t>2000</t>
        </is>
      </c>
      <c r="F17" s="107" t="inlineStr">
        <is>
          <t>1020</t>
        </is>
      </c>
      <c r="G17" s="108" t="n">
        <v>2731.1</v>
      </c>
      <c r="H17" s="107" t="inlineStr">
        <is>
          <t>E</t>
        </is>
      </c>
      <c r="I17" s="109">
        <f>IFERROR(INDEX(TVA_taux,MATCH(H17,TVA_codes,0)),0)</f>
        <v>0</v>
      </c>
      <c r="J17" s="108">
        <f>ROUND(G17*I17,2)</f>
        <v>0</v>
      </c>
      <c r="K17" s="108">
        <f>G17+J17</f>
        <v>2731.1</v>
      </c>
      <c r="L17" s="107">
        <f>IF(J17=0,"",IF(INDEX(Base,MATCH(E17,Comptes,0))="HT","1176",IF(INDEX(Base,MATCH(F17,Comptes,0))="HT","2200","ERREUR")))</f>
        <v/>
      </c>
    </row>
    <row r="18">
      <c r="A18" s="105" t="n">
        <v>45685</v>
      </c>
      <c r="B18" s="106" t="inlineStr">
        <is>
          <t>2025-017</t>
        </is>
      </c>
      <c r="C18" s="106" t="inlineStr">
        <is>
          <t>Encaissement clients</t>
        </is>
      </c>
      <c r="D18" s="106" t="inlineStr">
        <is>
          <t>Règlement</t>
        </is>
      </c>
      <c r="E18" s="107" t="inlineStr">
        <is>
          <t>1020</t>
        </is>
      </c>
      <c r="F18" s="107" t="inlineStr">
        <is>
          <t>1100</t>
        </is>
      </c>
      <c r="G18" s="108" t="n">
        <v>13034</v>
      </c>
      <c r="H18" s="107" t="inlineStr">
        <is>
          <t>E</t>
        </is>
      </c>
      <c r="I18" s="109">
        <f>IFERROR(INDEX(TVA_taux,MATCH(H18,TVA_codes,0)),0)</f>
        <v>0</v>
      </c>
      <c r="J18" s="108">
        <f>ROUND(G18*I18,2)</f>
        <v>0</v>
      </c>
      <c r="K18" s="108">
        <f>G18+J18</f>
        <v>13034</v>
      </c>
      <c r="L18" s="107">
        <f>IF(J18=0,"",IF(INDEX(Base,MATCH(E18,Comptes,0))="HT","1176",IF(INDEX(Base,MATCH(F18,Comptes,0))="HT","2200","ERREUR")))</f>
        <v/>
      </c>
    </row>
    <row r="19">
      <c r="A19" s="105" t="n">
        <v>45693</v>
      </c>
      <c r="B19" s="106" t="inlineStr">
        <is>
          <t>2025-018</t>
        </is>
      </c>
      <c r="C19" s="106" t="inlineStr">
        <is>
          <t>Prestations d'atelier</t>
        </is>
      </c>
      <c r="D19" s="106" t="inlineStr">
        <is>
          <t>Vente</t>
        </is>
      </c>
      <c r="E19" s="107" t="inlineStr">
        <is>
          <t>1100</t>
        </is>
      </c>
      <c r="F19" s="107" t="inlineStr">
        <is>
          <t>3000</t>
        </is>
      </c>
      <c r="G19" s="108" t="n">
        <v>11200</v>
      </c>
      <c r="H19" s="107" t="inlineStr">
        <is>
          <t>N</t>
        </is>
      </c>
      <c r="I19" s="109">
        <f>IFERROR(INDEX(TVA_taux,MATCH(H19,TVA_codes,0)),0)</f>
        <v>0.081</v>
      </c>
      <c r="J19" s="108">
        <f>ROUND(G19*I19,2)</f>
        <v>907.2</v>
      </c>
      <c r="K19" s="108">
        <f>G19+J19</f>
        <v>12107.2</v>
      </c>
      <c r="L19" s="107" t="str">
        <f>IF(J19=0,"",IF(INDEX(Base,MATCH(E19,Comptes,0))="HT","1176",IF(INDEX(Base,MATCH(F19,Comptes,0))="HT","2200","ERREUR")))</f>
        <v>2200</v>
      </c>
    </row>
    <row r="20">
      <c r="A20" s="105" t="n">
        <v>45693</v>
      </c>
      <c r="B20" s="106" t="inlineStr">
        <is>
          <t>2025-019</t>
        </is>
      </c>
      <c r="C20" s="106" t="inlineStr">
        <is>
          <t>Achats matières &amp; marchandises</t>
        </is>
      </c>
      <c r="D20" s="106" t="inlineStr">
        <is>
          <t>Achat</t>
        </is>
      </c>
      <c r="E20" s="107" t="inlineStr">
        <is>
          <t>4000</t>
        </is>
      </c>
      <c r="F20" s="107" t="inlineStr">
        <is>
          <t>2000</t>
        </is>
      </c>
      <c r="G20" s="108" t="n">
        <v>2900</v>
      </c>
      <c r="H20" s="107" t="inlineStr">
        <is>
          <t>N</t>
        </is>
      </c>
      <c r="I20" s="109">
        <f>IFERROR(INDEX(TVA_taux,MATCH(H20,TVA_codes,0)),0)</f>
        <v>0.081</v>
      </c>
      <c r="J20" s="108">
        <f>ROUND(G20*I20,2)</f>
        <v>234.9</v>
      </c>
      <c r="K20" s="108">
        <f>G20+J20</f>
        <v>3134.9</v>
      </c>
      <c r="L20" s="107" t="str">
        <f>IF(J20=0,"",IF(INDEX(Base,MATCH(E20,Comptes,0))="HT","1176",IF(INDEX(Base,MATCH(F20,Comptes,0))="HT","2200","ERREUR")))</f>
        <v>1176</v>
      </c>
    </row>
    <row r="21">
      <c r="A21" s="105" t="n">
        <v>45703</v>
      </c>
      <c r="B21" s="106" t="inlineStr">
        <is>
          <t>2025-020</t>
        </is>
      </c>
      <c r="C21" s="106" t="inlineStr">
        <is>
          <t>Ventes de mobilier</t>
        </is>
      </c>
      <c r="D21" s="106" t="inlineStr">
        <is>
          <t>Vente</t>
        </is>
      </c>
      <c r="E21" s="107" t="inlineStr">
        <is>
          <t>1100</t>
        </is>
      </c>
      <c r="F21" s="107" t="inlineStr">
        <is>
          <t>3200</t>
        </is>
      </c>
      <c r="G21" s="108" t="n">
        <v>3800</v>
      </c>
      <c r="H21" s="107" t="inlineStr">
        <is>
          <t>N</t>
        </is>
      </c>
      <c r="I21" s="109">
        <f>IFERROR(INDEX(TVA_taux,MATCH(H21,TVA_codes,0)),0)</f>
        <v>0.081</v>
      </c>
      <c r="J21" s="108">
        <f>ROUND(G21*I21,2)</f>
        <v>307.8</v>
      </c>
      <c r="K21" s="108">
        <f>G21+J21</f>
        <v>4107.8</v>
      </c>
      <c r="L21" s="107" t="str">
        <f>IF(J21=0,"",IF(INDEX(Base,MATCH(E21,Comptes,0))="HT","1176",IF(INDEX(Base,MATCH(F21,Comptes,0))="HT","2200","ERREUR")))</f>
        <v>2200</v>
      </c>
    </row>
    <row r="22">
      <c r="A22" s="105" t="n">
        <v>45703</v>
      </c>
      <c r="B22" s="106" t="inlineStr">
        <is>
          <t>2025-021</t>
        </is>
      </c>
      <c r="C22" s="106" t="inlineStr">
        <is>
          <t>Fournitures &amp; administration</t>
        </is>
      </c>
      <c r="D22" s="106" t="inlineStr">
        <is>
          <t>Charge</t>
        </is>
      </c>
      <c r="E22" s="107" t="inlineStr">
        <is>
          <t>6500</t>
        </is>
      </c>
      <c r="F22" s="107" t="inlineStr">
        <is>
          <t>1020</t>
        </is>
      </c>
      <c r="G22" s="108" t="n">
        <v>240</v>
      </c>
      <c r="H22" s="107" t="inlineStr">
        <is>
          <t>N</t>
        </is>
      </c>
      <c r="I22" s="109">
        <f>IFERROR(INDEX(TVA_taux,MATCH(H22,TVA_codes,0)),0)</f>
        <v>0.081</v>
      </c>
      <c r="J22" s="108">
        <f>ROUND(G22*I22,2)</f>
        <v>19.44</v>
      </c>
      <c r="K22" s="108">
        <f>G22+J22</f>
        <v>259.44</v>
      </c>
      <c r="L22" s="107" t="str">
        <f>IF(J22=0,"",IF(INDEX(Base,MATCH(E22,Comptes,0))="HT","1176",IF(INDEX(Base,MATCH(F22,Comptes,0))="HT","2200","ERREUR")))</f>
        <v>1176</v>
      </c>
    </row>
    <row r="23">
      <c r="A23" s="105" t="n">
        <v>45703</v>
      </c>
      <c r="B23" s="106" t="inlineStr">
        <is>
          <t>2025-022</t>
        </is>
      </c>
      <c r="C23" s="106" t="inlineStr">
        <is>
          <t>Publicité &amp; marketing</t>
        </is>
      </c>
      <c r="D23" s="106" t="inlineStr">
        <is>
          <t>Charge</t>
        </is>
      </c>
      <c r="E23" s="107" t="inlineStr">
        <is>
          <t>6600</t>
        </is>
      </c>
      <c r="F23" s="107" t="inlineStr">
        <is>
          <t>1020</t>
        </is>
      </c>
      <c r="G23" s="108" t="n">
        <v>800</v>
      </c>
      <c r="H23" s="107" t="inlineStr">
        <is>
          <t>N</t>
        </is>
      </c>
      <c r="I23" s="109">
        <f>IFERROR(INDEX(TVA_taux,MATCH(H23,TVA_codes,0)),0)</f>
        <v>0.081</v>
      </c>
      <c r="J23" s="108">
        <f>ROUND(G23*I23,2)</f>
        <v>64.8</v>
      </c>
      <c r="K23" s="108">
        <f>G23+J23</f>
        <v>864.8</v>
      </c>
      <c r="L23" s="107" t="str">
        <f>IF(J23=0,"",IF(INDEX(Base,MATCH(E23,Comptes,0))="HT","1176",IF(INDEX(Base,MATCH(F23,Comptes,0))="HT","2200","ERREUR")))</f>
        <v>1176</v>
      </c>
    </row>
    <row r="24">
      <c r="A24" s="105" t="n">
        <v>45713</v>
      </c>
      <c r="B24" s="106" t="inlineStr">
        <is>
          <t>2025-023</t>
        </is>
      </c>
      <c r="C24" s="106" t="inlineStr">
        <is>
          <t>Loyer atelier</t>
        </is>
      </c>
      <c r="D24" s="106" t="inlineStr">
        <is>
          <t>Charge</t>
        </is>
      </c>
      <c r="E24" s="107" t="inlineStr">
        <is>
          <t>6000</t>
        </is>
      </c>
      <c r="F24" s="107" t="inlineStr">
        <is>
          <t>1020</t>
        </is>
      </c>
      <c r="G24" s="108" t="n">
        <v>1800</v>
      </c>
      <c r="H24" s="107" t="inlineStr">
        <is>
          <t>E</t>
        </is>
      </c>
      <c r="I24" s="109">
        <f>IFERROR(INDEX(TVA_taux,MATCH(H24,TVA_codes,0)),0)</f>
        <v>0</v>
      </c>
      <c r="J24" s="108">
        <f>ROUND(G24*I24,2)</f>
        <v>0</v>
      </c>
      <c r="K24" s="108">
        <f>G24+J24</f>
        <v>1800</v>
      </c>
      <c r="L24" s="107">
        <f>IF(J24=0,"",IF(INDEX(Base,MATCH(E24,Comptes,0))="HT","1176",IF(INDEX(Base,MATCH(F24,Comptes,0))="HT","2200","ERREUR")))</f>
        <v/>
      </c>
    </row>
    <row r="25">
      <c r="A25" s="105" t="n">
        <v>45713</v>
      </c>
      <c r="B25" s="106" t="inlineStr">
        <is>
          <t>2025-024</t>
        </is>
      </c>
      <c r="C25" s="106" t="inlineStr">
        <is>
          <t>Salaires bruts du mois (décompte)</t>
        </is>
      </c>
      <c r="D25" s="106" t="inlineStr">
        <is>
          <t>Salaire</t>
        </is>
      </c>
      <c r="E25" s="107" t="inlineStr">
        <is>
          <t>5000</t>
        </is>
      </c>
      <c r="F25" s="107" t="inlineStr">
        <is>
          <t>2270</t>
        </is>
      </c>
      <c r="G25" s="108" t="n">
        <v>8500</v>
      </c>
      <c r="H25" s="107" t="inlineStr">
        <is>
          <t>E</t>
        </is>
      </c>
      <c r="I25" s="109">
        <f>IFERROR(INDEX(TVA_taux,MATCH(H25,TVA_codes,0)),0)</f>
        <v>0</v>
      </c>
      <c r="J25" s="108">
        <f>ROUND(G25*I25,2)</f>
        <v>0</v>
      </c>
      <c r="K25" s="108">
        <f>G25+J25</f>
        <v>8500</v>
      </c>
      <c r="L25" s="107">
        <f>IF(J25=0,"",IF(INDEX(Base,MATCH(E25,Comptes,0))="HT","1176",IF(INDEX(Base,MATCH(F25,Comptes,0))="HT","2200","ERREUR")))</f>
        <v/>
      </c>
    </row>
    <row r="26">
      <c r="A26" s="105" t="n">
        <v>45713</v>
      </c>
      <c r="B26" s="106" t="inlineStr">
        <is>
          <t>2025-025</t>
        </is>
      </c>
      <c r="C26" s="106" t="inlineStr">
        <is>
          <t>Salaires nets versés</t>
        </is>
      </c>
      <c r="D26" s="106" t="inlineStr">
        <is>
          <t>Salaire</t>
        </is>
      </c>
      <c r="E26" s="107" t="inlineStr">
        <is>
          <t>2270</t>
        </is>
      </c>
      <c r="F26" s="107" t="inlineStr">
        <is>
          <t>1020</t>
        </is>
      </c>
      <c r="G26" s="108" t="n">
        <v>7725.07</v>
      </c>
      <c r="H26" s="107" t="inlineStr">
        <is>
          <t>E</t>
        </is>
      </c>
      <c r="I26" s="109">
        <f>IFERROR(INDEX(TVA_taux,MATCH(H26,TVA_codes,0)),0)</f>
        <v>0</v>
      </c>
      <c r="J26" s="108">
        <f>ROUND(G26*I26,2)</f>
        <v>0</v>
      </c>
      <c r="K26" s="108">
        <f>G26+J26</f>
        <v>7725.07</v>
      </c>
      <c r="L26" s="107">
        <f>IF(J26=0,"",IF(INDEX(Base,MATCH(E26,Comptes,0))="HT","1176",IF(INDEX(Base,MATCH(F26,Comptes,0))="HT","2200","ERREUR")))</f>
        <v/>
      </c>
    </row>
    <row r="27">
      <c r="A27" s="105" t="n">
        <v>45713</v>
      </c>
      <c r="B27" s="106" t="inlineStr">
        <is>
          <t>2025-026</t>
        </is>
      </c>
      <c r="C27" s="106" t="inlineStr">
        <is>
          <t>Charges sociales patronales du mois (décompte)</t>
        </is>
      </c>
      <c r="D27" s="106" t="inlineStr">
        <is>
          <t>Salaire</t>
        </is>
      </c>
      <c r="E27" s="107" t="inlineStr">
        <is>
          <t>5700</t>
        </is>
      </c>
      <c r="F27" s="107" t="inlineStr">
        <is>
          <t>2270</t>
        </is>
      </c>
      <c r="G27" s="108" t="n">
        <v>962.42</v>
      </c>
      <c r="H27" s="107" t="inlineStr">
        <is>
          <t>E</t>
        </is>
      </c>
      <c r="I27" s="109">
        <f>IFERROR(INDEX(TVA_taux,MATCH(H27,TVA_codes,0)),0)</f>
        <v>0</v>
      </c>
      <c r="J27" s="108">
        <f>ROUND(G27*I27,2)</f>
        <v>0</v>
      </c>
      <c r="K27" s="108">
        <f>G27+J27</f>
        <v>962.42</v>
      </c>
      <c r="L27" s="107">
        <f>IF(J27=0,"",IF(INDEX(Base,MATCH(E27,Comptes,0))="HT","1176",IF(INDEX(Base,MATCH(F27,Comptes,0))="HT","2200","ERREUR")))</f>
        <v/>
      </c>
    </row>
    <row r="28">
      <c r="A28" s="105" t="n">
        <v>45715</v>
      </c>
      <c r="B28" s="106" t="inlineStr">
        <is>
          <t>2025-027</t>
        </is>
      </c>
      <c r="C28" s="106" t="inlineStr">
        <is>
          <t>Paiement fournisseurs</t>
        </is>
      </c>
      <c r="D28" s="106" t="inlineStr">
        <is>
          <t>Règlement</t>
        </is>
      </c>
      <c r="E28" s="107" t="inlineStr">
        <is>
          <t>2000</t>
        </is>
      </c>
      <c r="F28" s="107" t="inlineStr">
        <is>
          <t>1020</t>
        </is>
      </c>
      <c r="G28" s="108" t="n">
        <v>2554.9</v>
      </c>
      <c r="H28" s="107" t="inlineStr">
        <is>
          <t>E</t>
        </is>
      </c>
      <c r="I28" s="109">
        <f>IFERROR(INDEX(TVA_taux,MATCH(H28,TVA_codes,0)),0)</f>
        <v>0</v>
      </c>
      <c r="J28" s="108">
        <f>ROUND(G28*I28,2)</f>
        <v>0</v>
      </c>
      <c r="K28" s="108">
        <f>G28+J28</f>
        <v>2554.9</v>
      </c>
      <c r="L28" s="107">
        <f>IF(J28=0,"",IF(INDEX(Base,MATCH(E28,Comptes,0))="HT","1176",IF(INDEX(Base,MATCH(F28,Comptes,0))="HT","2200","ERREUR")))</f>
        <v/>
      </c>
    </row>
    <row r="29">
      <c r="A29" s="105" t="n">
        <v>45716</v>
      </c>
      <c r="B29" s="106" t="inlineStr">
        <is>
          <t>2025-028</t>
        </is>
      </c>
      <c r="C29" s="106" t="inlineStr">
        <is>
          <t>Encaissement clients</t>
        </is>
      </c>
      <c r="D29" s="106" t="inlineStr">
        <is>
          <t>Règlement</t>
        </is>
      </c>
      <c r="E29" s="107" t="inlineStr">
        <is>
          <t>1020</t>
        </is>
      </c>
      <c r="F29" s="107" t="inlineStr">
        <is>
          <t>1100</t>
        </is>
      </c>
      <c r="G29" s="108" t="n">
        <v>13965</v>
      </c>
      <c r="H29" s="107" t="inlineStr">
        <is>
          <t>E</t>
        </is>
      </c>
      <c r="I29" s="109">
        <f>IFERROR(INDEX(TVA_taux,MATCH(H29,TVA_codes,0)),0)</f>
        <v>0</v>
      </c>
      <c r="J29" s="108">
        <f>ROUND(G29*I29,2)</f>
        <v>0</v>
      </c>
      <c r="K29" s="108">
        <f>G29+J29</f>
        <v>13965</v>
      </c>
      <c r="L29" s="107">
        <f>IF(J29=0,"",IF(INDEX(Base,MATCH(E29,Comptes,0))="HT","1176",IF(INDEX(Base,MATCH(F29,Comptes,0))="HT","2200","ERREUR")))</f>
        <v/>
      </c>
    </row>
    <row r="30">
      <c r="A30" s="105" t="n">
        <v>45721</v>
      </c>
      <c r="B30" s="106" t="inlineStr">
        <is>
          <t>2025-029</t>
        </is>
      </c>
      <c r="C30" s="106" t="inlineStr">
        <is>
          <t>Prestations d'atelier</t>
        </is>
      </c>
      <c r="D30" s="106" t="inlineStr">
        <is>
          <t>Vente</t>
        </is>
      </c>
      <c r="E30" s="107" t="inlineStr">
        <is>
          <t>1100</t>
        </is>
      </c>
      <c r="F30" s="107" t="inlineStr">
        <is>
          <t>3000</t>
        </is>
      </c>
      <c r="G30" s="108" t="n">
        <v>10500</v>
      </c>
      <c r="H30" s="107" t="inlineStr">
        <is>
          <t>N</t>
        </is>
      </c>
      <c r="I30" s="109">
        <f>IFERROR(INDEX(TVA_taux,MATCH(H30,TVA_codes,0)),0)</f>
        <v>0.081</v>
      </c>
      <c r="J30" s="108">
        <f>ROUND(G30*I30,2)</f>
        <v>850.5</v>
      </c>
      <c r="K30" s="108">
        <f>G30+J30</f>
        <v>11350.5</v>
      </c>
      <c r="L30" s="107" t="str">
        <f>IF(J30=0,"",IF(INDEX(Base,MATCH(E30,Comptes,0))="HT","1176",IF(INDEX(Base,MATCH(F30,Comptes,0))="HT","2200","ERREUR")))</f>
        <v>2200</v>
      </c>
    </row>
    <row r="31">
      <c r="A31" s="105" t="n">
        <v>45721</v>
      </c>
      <c r="B31" s="106" t="inlineStr">
        <is>
          <t>2025-030</t>
        </is>
      </c>
      <c r="C31" s="106" t="inlineStr">
        <is>
          <t>Achats matières &amp; marchandises</t>
        </is>
      </c>
      <c r="D31" s="106" t="inlineStr">
        <is>
          <t>Achat</t>
        </is>
      </c>
      <c r="E31" s="107" t="inlineStr">
        <is>
          <t>4000</t>
        </is>
      </c>
      <c r="F31" s="107" t="inlineStr">
        <is>
          <t>2000</t>
        </is>
      </c>
      <c r="G31" s="108" t="n">
        <v>3600</v>
      </c>
      <c r="H31" s="107" t="inlineStr">
        <is>
          <t>N</t>
        </is>
      </c>
      <c r="I31" s="109">
        <f>IFERROR(INDEX(TVA_taux,MATCH(H31,TVA_codes,0)),0)</f>
        <v>0.081</v>
      </c>
      <c r="J31" s="108">
        <f>ROUND(G31*I31,2)</f>
        <v>291.6</v>
      </c>
      <c r="K31" s="108">
        <f>G31+J31</f>
        <v>3891.6</v>
      </c>
      <c r="L31" s="107" t="str">
        <f>IF(J31=0,"",IF(INDEX(Base,MATCH(E31,Comptes,0))="HT","1176",IF(INDEX(Base,MATCH(F31,Comptes,0))="HT","2200","ERREUR")))</f>
        <v>1176</v>
      </c>
    </row>
    <row r="32">
      <c r="A32" s="105" t="n">
        <v>45731</v>
      </c>
      <c r="B32" s="106" t="inlineStr">
        <is>
          <t>2025-031</t>
        </is>
      </c>
      <c r="C32" s="106" t="inlineStr">
        <is>
          <t>Ventes de mobilier</t>
        </is>
      </c>
      <c r="D32" s="106" t="inlineStr">
        <is>
          <t>Vente</t>
        </is>
      </c>
      <c r="E32" s="107" t="inlineStr">
        <is>
          <t>1100</t>
        </is>
      </c>
      <c r="F32" s="107" t="inlineStr">
        <is>
          <t>3200</t>
        </is>
      </c>
      <c r="G32" s="108" t="n">
        <v>5100</v>
      </c>
      <c r="H32" s="107" t="inlineStr">
        <is>
          <t>N</t>
        </is>
      </c>
      <c r="I32" s="109">
        <f>IFERROR(INDEX(TVA_taux,MATCH(H32,TVA_codes,0)),0)</f>
        <v>0.081</v>
      </c>
      <c r="J32" s="108">
        <f>ROUND(G32*I32,2)</f>
        <v>413.1</v>
      </c>
      <c r="K32" s="108">
        <f>G32+J32</f>
        <v>5513.1</v>
      </c>
      <c r="L32" s="107" t="str">
        <f>IF(J32=0,"",IF(INDEX(Base,MATCH(E32,Comptes,0))="HT","1176",IF(INDEX(Base,MATCH(F32,Comptes,0))="HT","2200","ERREUR")))</f>
        <v>2200</v>
      </c>
    </row>
    <row r="33">
      <c r="A33" s="105" t="n">
        <v>45731</v>
      </c>
      <c r="B33" s="106" t="inlineStr">
        <is>
          <t>2025-032</t>
        </is>
      </c>
      <c r="C33" s="106" t="inlineStr">
        <is>
          <t>Fournitures &amp; administration</t>
        </is>
      </c>
      <c r="D33" s="106" t="inlineStr">
        <is>
          <t>Charge</t>
        </is>
      </c>
      <c r="E33" s="107" t="inlineStr">
        <is>
          <t>6500</t>
        </is>
      </c>
      <c r="F33" s="107" t="inlineStr">
        <is>
          <t>1020</t>
        </is>
      </c>
      <c r="G33" s="108" t="n">
        <v>210</v>
      </c>
      <c r="H33" s="107" t="inlineStr">
        <is>
          <t>N</t>
        </is>
      </c>
      <c r="I33" s="109">
        <f>IFERROR(INDEX(TVA_taux,MATCH(H33,TVA_codes,0)),0)</f>
        <v>0.081</v>
      </c>
      <c r="J33" s="108">
        <f>ROUND(G33*I33,2)</f>
        <v>17.01</v>
      </c>
      <c r="K33" s="108">
        <f>G33+J33</f>
        <v>227.01</v>
      </c>
      <c r="L33" s="107" t="str">
        <f>IF(J33=0,"",IF(INDEX(Base,MATCH(E33,Comptes,0))="HT","1176",IF(INDEX(Base,MATCH(F33,Comptes,0))="HT","2200","ERREUR")))</f>
        <v>1176</v>
      </c>
    </row>
    <row r="34">
      <c r="A34" s="105" t="n">
        <v>45741</v>
      </c>
      <c r="B34" s="106" t="inlineStr">
        <is>
          <t>2025-033</t>
        </is>
      </c>
      <c r="C34" s="106" t="inlineStr">
        <is>
          <t>Loyer atelier</t>
        </is>
      </c>
      <c r="D34" s="106" t="inlineStr">
        <is>
          <t>Charge</t>
        </is>
      </c>
      <c r="E34" s="107" t="inlineStr">
        <is>
          <t>6000</t>
        </is>
      </c>
      <c r="F34" s="107" t="inlineStr">
        <is>
          <t>1020</t>
        </is>
      </c>
      <c r="G34" s="108" t="n">
        <v>1800</v>
      </c>
      <c r="H34" s="107" t="inlineStr">
        <is>
          <t>E</t>
        </is>
      </c>
      <c r="I34" s="109">
        <f>IFERROR(INDEX(TVA_taux,MATCH(H34,TVA_codes,0)),0)</f>
        <v>0</v>
      </c>
      <c r="J34" s="108">
        <f>ROUND(G34*I34,2)</f>
        <v>0</v>
      </c>
      <c r="K34" s="108">
        <f>G34+J34</f>
        <v>1800</v>
      </c>
      <c r="L34" s="107">
        <f>IF(J34=0,"",IF(INDEX(Base,MATCH(E34,Comptes,0))="HT","1176",IF(INDEX(Base,MATCH(F34,Comptes,0))="HT","2200","ERREUR")))</f>
        <v/>
      </c>
    </row>
    <row r="35">
      <c r="A35" s="105" t="n">
        <v>45741</v>
      </c>
      <c r="B35" s="106" t="inlineStr">
        <is>
          <t>2025-034</t>
        </is>
      </c>
      <c r="C35" s="106" t="inlineStr">
        <is>
          <t>Salaires bruts du mois (décompte)</t>
        </is>
      </c>
      <c r="D35" s="106" t="inlineStr">
        <is>
          <t>Salaire</t>
        </is>
      </c>
      <c r="E35" s="107" t="inlineStr">
        <is>
          <t>5000</t>
        </is>
      </c>
      <c r="F35" s="107" t="inlineStr">
        <is>
          <t>2270</t>
        </is>
      </c>
      <c r="G35" s="108" t="n">
        <v>8500</v>
      </c>
      <c r="H35" s="107" t="inlineStr">
        <is>
          <t>E</t>
        </is>
      </c>
      <c r="I35" s="109">
        <f>IFERROR(INDEX(TVA_taux,MATCH(H35,TVA_codes,0)),0)</f>
        <v>0</v>
      </c>
      <c r="J35" s="108">
        <f>ROUND(G35*I35,2)</f>
        <v>0</v>
      </c>
      <c r="K35" s="108">
        <f>G35+J35</f>
        <v>8500</v>
      </c>
      <c r="L35" s="107">
        <f>IF(J35=0,"",IF(INDEX(Base,MATCH(E35,Comptes,0))="HT","1176",IF(INDEX(Base,MATCH(F35,Comptes,0))="HT","2200","ERREUR")))</f>
        <v/>
      </c>
    </row>
    <row r="36">
      <c r="A36" s="105" t="n">
        <v>45741</v>
      </c>
      <c r="B36" s="106" t="inlineStr">
        <is>
          <t>2025-035</t>
        </is>
      </c>
      <c r="C36" s="106" t="inlineStr">
        <is>
          <t>Salaires nets versés</t>
        </is>
      </c>
      <c r="D36" s="106" t="inlineStr">
        <is>
          <t>Salaire</t>
        </is>
      </c>
      <c r="E36" s="107" t="inlineStr">
        <is>
          <t>2270</t>
        </is>
      </c>
      <c r="F36" s="107" t="inlineStr">
        <is>
          <t>1020</t>
        </is>
      </c>
      <c r="G36" s="108" t="n">
        <v>7725.07</v>
      </c>
      <c r="H36" s="107" t="inlineStr">
        <is>
          <t>E</t>
        </is>
      </c>
      <c r="I36" s="109">
        <f>IFERROR(INDEX(TVA_taux,MATCH(H36,TVA_codes,0)),0)</f>
        <v>0</v>
      </c>
      <c r="J36" s="108">
        <f>ROUND(G36*I36,2)</f>
        <v>0</v>
      </c>
      <c r="K36" s="108">
        <f>G36+J36</f>
        <v>7725.07</v>
      </c>
      <c r="L36" s="107">
        <f>IF(J36=0,"",IF(INDEX(Base,MATCH(E36,Comptes,0))="HT","1176",IF(INDEX(Base,MATCH(F36,Comptes,0))="HT","2200","ERREUR")))</f>
        <v/>
      </c>
    </row>
    <row r="37">
      <c r="A37" s="105" t="n">
        <v>45741</v>
      </c>
      <c r="B37" s="106" t="inlineStr">
        <is>
          <t>2025-036</t>
        </is>
      </c>
      <c r="C37" s="106" t="inlineStr">
        <is>
          <t>Charges sociales patronales du mois (décompte)</t>
        </is>
      </c>
      <c r="D37" s="106" t="inlineStr">
        <is>
          <t>Salaire</t>
        </is>
      </c>
      <c r="E37" s="107" t="inlineStr">
        <is>
          <t>5700</t>
        </is>
      </c>
      <c r="F37" s="107" t="inlineStr">
        <is>
          <t>2270</t>
        </is>
      </c>
      <c r="G37" s="108" t="n">
        <v>962.42</v>
      </c>
      <c r="H37" s="107" t="inlineStr">
        <is>
          <t>E</t>
        </is>
      </c>
      <c r="I37" s="109">
        <f>IFERROR(INDEX(TVA_taux,MATCH(H37,TVA_codes,0)),0)</f>
        <v>0</v>
      </c>
      <c r="J37" s="108">
        <f>ROUND(G37*I37,2)</f>
        <v>0</v>
      </c>
      <c r="K37" s="108">
        <f>G37+J37</f>
        <v>962.42</v>
      </c>
      <c r="L37" s="107">
        <f>IF(J37=0,"",IF(INDEX(Base,MATCH(E37,Comptes,0))="HT","1176",IF(INDEX(Base,MATCH(F37,Comptes,0))="HT","2200","ERREUR")))</f>
        <v/>
      </c>
    </row>
    <row r="38">
      <c r="A38" s="105" t="n">
        <v>45743</v>
      </c>
      <c r="B38" s="106" t="inlineStr">
        <is>
          <t>2025-037</t>
        </is>
      </c>
      <c r="C38" s="106" t="inlineStr">
        <is>
          <t>Paiement fournisseurs</t>
        </is>
      </c>
      <c r="D38" s="106" t="inlineStr">
        <is>
          <t>Règlement</t>
        </is>
      </c>
      <c r="E38" s="107" t="inlineStr">
        <is>
          <t>2000</t>
        </is>
      </c>
      <c r="F38" s="107" t="inlineStr">
        <is>
          <t>1020</t>
        </is>
      </c>
      <c r="G38" s="108" t="n">
        <v>3171.6</v>
      </c>
      <c r="H38" s="107" t="inlineStr">
        <is>
          <t>E</t>
        </is>
      </c>
      <c r="I38" s="109">
        <f>IFERROR(INDEX(TVA_taux,MATCH(H38,TVA_codes,0)),0)</f>
        <v>0</v>
      </c>
      <c r="J38" s="108">
        <f>ROUND(G38*I38,2)</f>
        <v>0</v>
      </c>
      <c r="K38" s="108">
        <f>G38+J38</f>
        <v>3171.6</v>
      </c>
      <c r="L38" s="107">
        <f>IF(J38=0,"",IF(INDEX(Base,MATCH(E38,Comptes,0))="HT","1176",IF(INDEX(Base,MATCH(F38,Comptes,0))="HT","2200","ERREUR")))</f>
        <v/>
      </c>
    </row>
    <row r="39">
      <c r="A39" s="105" t="n">
        <v>45744</v>
      </c>
      <c r="B39" s="106" t="inlineStr">
        <is>
          <t>2025-038</t>
        </is>
      </c>
      <c r="C39" s="106" t="inlineStr">
        <is>
          <t>Encaissement clients</t>
        </is>
      </c>
      <c r="D39" s="106" t="inlineStr">
        <is>
          <t>Règlement</t>
        </is>
      </c>
      <c r="E39" s="107" t="inlineStr">
        <is>
          <t>1020</t>
        </is>
      </c>
      <c r="F39" s="107" t="inlineStr">
        <is>
          <t>1100</t>
        </is>
      </c>
      <c r="G39" s="108" t="n">
        <v>14523.6</v>
      </c>
      <c r="H39" s="107" t="inlineStr">
        <is>
          <t>E</t>
        </is>
      </c>
      <c r="I39" s="109">
        <f>IFERROR(INDEX(TVA_taux,MATCH(H39,TVA_codes,0)),0)</f>
        <v>0</v>
      </c>
      <c r="J39" s="108">
        <f>ROUND(G39*I39,2)</f>
        <v>0</v>
      </c>
      <c r="K39" s="108">
        <f>G39+J39</f>
        <v>14523.6</v>
      </c>
      <c r="L39" s="107">
        <f>IF(J39=0,"",IF(INDEX(Base,MATCH(E39,Comptes,0))="HT","1176",IF(INDEX(Base,MATCH(F39,Comptes,0))="HT","2200","ERREUR")))</f>
        <v/>
      </c>
    </row>
    <row r="40">
      <c r="A40" s="105" t="n">
        <v>45752</v>
      </c>
      <c r="B40" s="106" t="inlineStr">
        <is>
          <t>2025-039</t>
        </is>
      </c>
      <c r="C40" s="106" t="inlineStr">
        <is>
          <t>Prestations d'atelier</t>
        </is>
      </c>
      <c r="D40" s="106" t="inlineStr">
        <is>
          <t>Vente</t>
        </is>
      </c>
      <c r="E40" s="107" t="inlineStr">
        <is>
          <t>1100</t>
        </is>
      </c>
      <c r="F40" s="107" t="inlineStr">
        <is>
          <t>3000</t>
        </is>
      </c>
      <c r="G40" s="108" t="n">
        <v>12800</v>
      </c>
      <c r="H40" s="107" t="inlineStr">
        <is>
          <t>N</t>
        </is>
      </c>
      <c r="I40" s="109">
        <f>IFERROR(INDEX(TVA_taux,MATCH(H40,TVA_codes,0)),0)</f>
        <v>0.081</v>
      </c>
      <c r="J40" s="108">
        <f>ROUND(G40*I40,2)</f>
        <v>1036.8</v>
      </c>
      <c r="K40" s="108">
        <f>G40+J40</f>
        <v>13836.8</v>
      </c>
      <c r="L40" s="107" t="str">
        <f>IF(J40=0,"",IF(INDEX(Base,MATCH(E40,Comptes,0))="HT","1176",IF(INDEX(Base,MATCH(F40,Comptes,0))="HT","2200","ERREUR")))</f>
        <v>2200</v>
      </c>
    </row>
    <row r="41">
      <c r="A41" s="105" t="n">
        <v>45752</v>
      </c>
      <c r="B41" s="106" t="inlineStr">
        <is>
          <t>2025-040</t>
        </is>
      </c>
      <c r="C41" s="106" t="inlineStr">
        <is>
          <t>Achats matières &amp; marchandises</t>
        </is>
      </c>
      <c r="D41" s="106" t="inlineStr">
        <is>
          <t>Achat</t>
        </is>
      </c>
      <c r="E41" s="107" t="inlineStr">
        <is>
          <t>4000</t>
        </is>
      </c>
      <c r="F41" s="107" t="inlineStr">
        <is>
          <t>2000</t>
        </is>
      </c>
      <c r="G41" s="108" t="n">
        <v>3400</v>
      </c>
      <c r="H41" s="107" t="inlineStr">
        <is>
          <t>N</t>
        </is>
      </c>
      <c r="I41" s="109">
        <f>IFERROR(INDEX(TVA_taux,MATCH(H41,TVA_codes,0)),0)</f>
        <v>0.081</v>
      </c>
      <c r="J41" s="108">
        <f>ROUND(G41*I41,2)</f>
        <v>275.4</v>
      </c>
      <c r="K41" s="108">
        <f>G41+J41</f>
        <v>3675.4</v>
      </c>
      <c r="L41" s="107" t="str">
        <f>IF(J41=0,"",IF(INDEX(Base,MATCH(E41,Comptes,0))="HT","1176",IF(INDEX(Base,MATCH(F41,Comptes,0))="HT","2200","ERREUR")))</f>
        <v>1176</v>
      </c>
    </row>
    <row r="42">
      <c r="A42" s="105" t="n">
        <v>45762</v>
      </c>
      <c r="B42" s="106" t="inlineStr">
        <is>
          <t>2025-041</t>
        </is>
      </c>
      <c r="C42" s="106" t="inlineStr">
        <is>
          <t>Ventes de mobilier</t>
        </is>
      </c>
      <c r="D42" s="106" t="inlineStr">
        <is>
          <t>Vente</t>
        </is>
      </c>
      <c r="E42" s="107" t="inlineStr">
        <is>
          <t>1100</t>
        </is>
      </c>
      <c r="F42" s="107" t="inlineStr">
        <is>
          <t>3200</t>
        </is>
      </c>
      <c r="G42" s="108" t="n">
        <v>4700</v>
      </c>
      <c r="H42" s="107" t="inlineStr">
        <is>
          <t>N</t>
        </is>
      </c>
      <c r="I42" s="109">
        <f>IFERROR(INDEX(TVA_taux,MATCH(H42,TVA_codes,0)),0)</f>
        <v>0.081</v>
      </c>
      <c r="J42" s="108">
        <f>ROUND(G42*I42,2)</f>
        <v>380.7</v>
      </c>
      <c r="K42" s="108">
        <f>G42+J42</f>
        <v>5080.7</v>
      </c>
      <c r="L42" s="107" t="str">
        <f>IF(J42=0,"",IF(INDEX(Base,MATCH(E42,Comptes,0))="HT","1176",IF(INDEX(Base,MATCH(F42,Comptes,0))="HT","2200","ERREUR")))</f>
        <v>2200</v>
      </c>
    </row>
    <row r="43">
      <c r="A43" s="105" t="n">
        <v>45762</v>
      </c>
      <c r="B43" s="106" t="inlineStr">
        <is>
          <t>2025-042</t>
        </is>
      </c>
      <c r="C43" s="106" t="inlineStr">
        <is>
          <t>Fournitures &amp; administration</t>
        </is>
      </c>
      <c r="D43" s="106" t="inlineStr">
        <is>
          <t>Charge</t>
        </is>
      </c>
      <c r="E43" s="107" t="inlineStr">
        <is>
          <t>6500</t>
        </is>
      </c>
      <c r="F43" s="107" t="inlineStr">
        <is>
          <t>1020</t>
        </is>
      </c>
      <c r="G43" s="108" t="n">
        <v>260</v>
      </c>
      <c r="H43" s="107" t="inlineStr">
        <is>
          <t>N</t>
        </is>
      </c>
      <c r="I43" s="109">
        <f>IFERROR(INDEX(TVA_taux,MATCH(H43,TVA_codes,0)),0)</f>
        <v>0.081</v>
      </c>
      <c r="J43" s="108">
        <f>ROUND(G43*I43,2)</f>
        <v>21.06</v>
      </c>
      <c r="K43" s="108">
        <f>G43+J43</f>
        <v>281.06</v>
      </c>
      <c r="L43" s="107" t="str">
        <f>IF(J43=0,"",IF(INDEX(Base,MATCH(E43,Comptes,0))="HT","1176",IF(INDEX(Base,MATCH(F43,Comptes,0))="HT","2200","ERREUR")))</f>
        <v>1176</v>
      </c>
    </row>
    <row r="44">
      <c r="A44" s="105" t="n">
        <v>45762</v>
      </c>
      <c r="B44" s="106" t="inlineStr">
        <is>
          <t>2025-043</t>
        </is>
      </c>
      <c r="C44" s="106" t="inlineStr">
        <is>
          <t>Abonnements &amp; informatique</t>
        </is>
      </c>
      <c r="D44" s="106" t="inlineStr">
        <is>
          <t>Charge</t>
        </is>
      </c>
      <c r="E44" s="107" t="inlineStr">
        <is>
          <t>6570</t>
        </is>
      </c>
      <c r="F44" s="107" t="inlineStr">
        <is>
          <t>1020</t>
        </is>
      </c>
      <c r="G44" s="108" t="n">
        <v>180</v>
      </c>
      <c r="H44" s="107" t="inlineStr">
        <is>
          <t>N</t>
        </is>
      </c>
      <c r="I44" s="109">
        <f>IFERROR(INDEX(TVA_taux,MATCH(H44,TVA_codes,0)),0)</f>
        <v>0.081</v>
      </c>
      <c r="J44" s="108">
        <f>ROUND(G44*I44,2)</f>
        <v>14.58</v>
      </c>
      <c r="K44" s="108">
        <f>G44+J44</f>
        <v>194.58</v>
      </c>
      <c r="L44" s="107" t="str">
        <f>IF(J44=0,"",IF(INDEX(Base,MATCH(E44,Comptes,0))="HT","1176",IF(INDEX(Base,MATCH(F44,Comptes,0))="HT","2200","ERREUR")))</f>
        <v>1176</v>
      </c>
    </row>
    <row r="45">
      <c r="A45" s="105" t="n">
        <v>45772</v>
      </c>
      <c r="B45" s="106" t="inlineStr">
        <is>
          <t>2025-044</t>
        </is>
      </c>
      <c r="C45" s="106" t="inlineStr">
        <is>
          <t>Loyer atelier</t>
        </is>
      </c>
      <c r="D45" s="106" t="inlineStr">
        <is>
          <t>Charge</t>
        </is>
      </c>
      <c r="E45" s="107" t="inlineStr">
        <is>
          <t>6000</t>
        </is>
      </c>
      <c r="F45" s="107" t="inlineStr">
        <is>
          <t>1020</t>
        </is>
      </c>
      <c r="G45" s="108" t="n">
        <v>1800</v>
      </c>
      <c r="H45" s="107" t="inlineStr">
        <is>
          <t>E</t>
        </is>
      </c>
      <c r="I45" s="109">
        <f>IFERROR(INDEX(TVA_taux,MATCH(H45,TVA_codes,0)),0)</f>
        <v>0</v>
      </c>
      <c r="J45" s="108">
        <f>ROUND(G45*I45,2)</f>
        <v>0</v>
      </c>
      <c r="K45" s="108">
        <f>G45+J45</f>
        <v>1800</v>
      </c>
      <c r="L45" s="107">
        <f>IF(J45=0,"",IF(INDEX(Base,MATCH(E45,Comptes,0))="HT","1176",IF(INDEX(Base,MATCH(F45,Comptes,0))="HT","2200","ERREUR")))</f>
        <v/>
      </c>
    </row>
    <row r="46">
      <c r="A46" s="105" t="n">
        <v>45772</v>
      </c>
      <c r="B46" s="106" t="inlineStr">
        <is>
          <t>2025-045</t>
        </is>
      </c>
      <c r="C46" s="106" t="inlineStr">
        <is>
          <t>Salaires bruts du mois (décompte)</t>
        </is>
      </c>
      <c r="D46" s="106" t="inlineStr">
        <is>
          <t>Salaire</t>
        </is>
      </c>
      <c r="E46" s="107" t="inlineStr">
        <is>
          <t>5000</t>
        </is>
      </c>
      <c r="F46" s="107" t="inlineStr">
        <is>
          <t>2270</t>
        </is>
      </c>
      <c r="G46" s="108" t="n">
        <v>8500</v>
      </c>
      <c r="H46" s="107" t="inlineStr">
        <is>
          <t>E</t>
        </is>
      </c>
      <c r="I46" s="109">
        <f>IFERROR(INDEX(TVA_taux,MATCH(H46,TVA_codes,0)),0)</f>
        <v>0</v>
      </c>
      <c r="J46" s="108">
        <f>ROUND(G46*I46,2)</f>
        <v>0</v>
      </c>
      <c r="K46" s="108">
        <f>G46+J46</f>
        <v>8500</v>
      </c>
      <c r="L46" s="107">
        <f>IF(J46=0,"",IF(INDEX(Base,MATCH(E46,Comptes,0))="HT","1176",IF(INDEX(Base,MATCH(F46,Comptes,0))="HT","2200","ERREUR")))</f>
        <v/>
      </c>
    </row>
    <row r="47">
      <c r="A47" s="105" t="n">
        <v>45772</v>
      </c>
      <c r="B47" s="106" t="inlineStr">
        <is>
          <t>2025-046</t>
        </is>
      </c>
      <c r="C47" s="106" t="inlineStr">
        <is>
          <t>Salaires nets versés</t>
        </is>
      </c>
      <c r="D47" s="106" t="inlineStr">
        <is>
          <t>Salaire</t>
        </is>
      </c>
      <c r="E47" s="107" t="inlineStr">
        <is>
          <t>2270</t>
        </is>
      </c>
      <c r="F47" s="107" t="inlineStr">
        <is>
          <t>1020</t>
        </is>
      </c>
      <c r="G47" s="108" t="n">
        <v>7725.07</v>
      </c>
      <c r="H47" s="107" t="inlineStr">
        <is>
          <t>E</t>
        </is>
      </c>
      <c r="I47" s="109">
        <f>IFERROR(INDEX(TVA_taux,MATCH(H47,TVA_codes,0)),0)</f>
        <v>0</v>
      </c>
      <c r="J47" s="108">
        <f>ROUND(G47*I47,2)</f>
        <v>0</v>
      </c>
      <c r="K47" s="108">
        <f>G47+J47</f>
        <v>7725.07</v>
      </c>
      <c r="L47" s="107">
        <f>IF(J47=0,"",IF(INDEX(Base,MATCH(E47,Comptes,0))="HT","1176",IF(INDEX(Base,MATCH(F47,Comptes,0))="HT","2200","ERREUR")))</f>
        <v/>
      </c>
    </row>
    <row r="48">
      <c r="A48" s="105" t="n">
        <v>45772</v>
      </c>
      <c r="B48" s="106" t="inlineStr">
        <is>
          <t>2025-047</t>
        </is>
      </c>
      <c r="C48" s="106" t="inlineStr">
        <is>
          <t>Charges sociales patronales du mois (décompte)</t>
        </is>
      </c>
      <c r="D48" s="106" t="inlineStr">
        <is>
          <t>Salaire</t>
        </is>
      </c>
      <c r="E48" s="107" t="inlineStr">
        <is>
          <t>5700</t>
        </is>
      </c>
      <c r="F48" s="107" t="inlineStr">
        <is>
          <t>2270</t>
        </is>
      </c>
      <c r="G48" s="108" t="n">
        <v>962.42</v>
      </c>
      <c r="H48" s="107" t="inlineStr">
        <is>
          <t>E</t>
        </is>
      </c>
      <c r="I48" s="109">
        <f>IFERROR(INDEX(TVA_taux,MATCH(H48,TVA_codes,0)),0)</f>
        <v>0</v>
      </c>
      <c r="J48" s="108">
        <f>ROUND(G48*I48,2)</f>
        <v>0</v>
      </c>
      <c r="K48" s="108">
        <f>G48+J48</f>
        <v>962.42</v>
      </c>
      <c r="L48" s="107">
        <f>IF(J48=0,"",IF(INDEX(Base,MATCH(E48,Comptes,0))="HT","1176",IF(INDEX(Base,MATCH(F48,Comptes,0))="HT","2200","ERREUR")))</f>
        <v/>
      </c>
    </row>
    <row r="49">
      <c r="A49" s="105" t="n">
        <v>45774</v>
      </c>
      <c r="B49" s="106" t="inlineStr">
        <is>
          <t>2025-048</t>
        </is>
      </c>
      <c r="C49" s="106" t="inlineStr">
        <is>
          <t>Paiement fournisseurs</t>
        </is>
      </c>
      <c r="D49" s="106" t="inlineStr">
        <is>
          <t>Règlement</t>
        </is>
      </c>
      <c r="E49" s="107" t="inlineStr">
        <is>
          <t>2000</t>
        </is>
      </c>
      <c r="F49" s="107" t="inlineStr">
        <is>
          <t>1020</t>
        </is>
      </c>
      <c r="G49" s="108" t="n">
        <v>2995.4</v>
      </c>
      <c r="H49" s="107" t="inlineStr">
        <is>
          <t>E</t>
        </is>
      </c>
      <c r="I49" s="109">
        <f>IFERROR(INDEX(TVA_taux,MATCH(H49,TVA_codes,0)),0)</f>
        <v>0</v>
      </c>
      <c r="J49" s="108">
        <f>ROUND(G49*I49,2)</f>
        <v>0</v>
      </c>
      <c r="K49" s="108">
        <f>G49+J49</f>
        <v>2995.4</v>
      </c>
      <c r="L49" s="107">
        <f>IF(J49=0,"",IF(INDEX(Base,MATCH(E49,Comptes,0))="HT","1176",IF(INDEX(Base,MATCH(F49,Comptes,0))="HT","2200","ERREUR")))</f>
        <v/>
      </c>
    </row>
    <row r="50">
      <c r="A50" s="105" t="n">
        <v>45775</v>
      </c>
      <c r="B50" s="106" t="inlineStr">
        <is>
          <t>2025-049</t>
        </is>
      </c>
      <c r="C50" s="106" t="inlineStr">
        <is>
          <t>Encaissement clients</t>
        </is>
      </c>
      <c r="D50" s="106" t="inlineStr">
        <is>
          <t>Règlement</t>
        </is>
      </c>
      <c r="E50" s="107" t="inlineStr">
        <is>
          <t>1020</t>
        </is>
      </c>
      <c r="F50" s="107" t="inlineStr">
        <is>
          <t>1100</t>
        </is>
      </c>
      <c r="G50" s="108" t="n">
        <v>16292.5</v>
      </c>
      <c r="H50" s="107" t="inlineStr">
        <is>
          <t>E</t>
        </is>
      </c>
      <c r="I50" s="109">
        <f>IFERROR(INDEX(TVA_taux,MATCH(H50,TVA_codes,0)),0)</f>
        <v>0</v>
      </c>
      <c r="J50" s="108">
        <f>ROUND(G50*I50,2)</f>
        <v>0</v>
      </c>
      <c r="K50" s="108">
        <f>G50+J50</f>
        <v>16292.5</v>
      </c>
      <c r="L50" s="107">
        <f>IF(J50=0,"",IF(INDEX(Base,MATCH(E50,Comptes,0))="HT","1176",IF(INDEX(Base,MATCH(F50,Comptes,0))="HT","2200","ERREUR")))</f>
        <v/>
      </c>
    </row>
    <row r="51">
      <c r="A51" s="105" t="n">
        <v>45777</v>
      </c>
      <c r="B51" s="106" t="inlineStr">
        <is>
          <t>2025-050</t>
        </is>
      </c>
      <c r="C51" s="106" t="inlineStr">
        <is>
          <t>Décompte AVS/AC/AF/LPP T1 — versement caisse de compensation et fondation</t>
        </is>
      </c>
      <c r="D51" s="106" t="inlineStr">
        <is>
          <t>Décompte social</t>
        </is>
      </c>
      <c r="E51" s="107" t="inlineStr">
        <is>
          <t>2270</t>
        </is>
      </c>
      <c r="F51" s="107" t="inlineStr">
        <is>
          <t>1020</t>
        </is>
      </c>
      <c r="G51" s="108" t="n">
        <v>5212.05</v>
      </c>
      <c r="H51" s="107" t="inlineStr">
        <is>
          <t>E</t>
        </is>
      </c>
      <c r="I51" s="109">
        <f>IFERROR(INDEX(TVA_taux,MATCH(H51,TVA_codes,0)),0)</f>
        <v>0</v>
      </c>
      <c r="J51" s="108">
        <f>ROUND(G51*I51,2)</f>
        <v>0</v>
      </c>
      <c r="K51" s="108">
        <f>G51+J51</f>
        <v>5212.05</v>
      </c>
      <c r="L51" s="107">
        <f>IF(J51=0,"",IF(INDEX(Base,MATCH(E51,Comptes,0))="HT","1176",IF(INDEX(Base,MATCH(F51,Comptes,0))="HT","2200","ERREUR")))</f>
        <v/>
      </c>
    </row>
    <row r="52">
      <c r="A52" s="105" t="n">
        <v>45782</v>
      </c>
      <c r="B52" s="106" t="inlineStr">
        <is>
          <t>2025-051</t>
        </is>
      </c>
      <c r="C52" s="106" t="inlineStr">
        <is>
          <t>Prestations d'atelier</t>
        </is>
      </c>
      <c r="D52" s="106" t="inlineStr">
        <is>
          <t>Vente</t>
        </is>
      </c>
      <c r="E52" s="107" t="inlineStr">
        <is>
          <t>1100</t>
        </is>
      </c>
      <c r="F52" s="107" t="inlineStr">
        <is>
          <t>3000</t>
        </is>
      </c>
      <c r="G52" s="108" t="n">
        <v>13500</v>
      </c>
      <c r="H52" s="107" t="inlineStr">
        <is>
          <t>N</t>
        </is>
      </c>
      <c r="I52" s="109">
        <f>IFERROR(INDEX(TVA_taux,MATCH(H52,TVA_codes,0)),0)</f>
        <v>0.081</v>
      </c>
      <c r="J52" s="108">
        <f>ROUND(G52*I52,2)</f>
        <v>1093.5</v>
      </c>
      <c r="K52" s="108">
        <f>G52+J52</f>
        <v>14593.5</v>
      </c>
      <c r="L52" s="107" t="str">
        <f>IF(J52=0,"",IF(INDEX(Base,MATCH(E52,Comptes,0))="HT","1176",IF(INDEX(Base,MATCH(F52,Comptes,0))="HT","2200","ERREUR")))</f>
        <v>2200</v>
      </c>
    </row>
    <row r="53">
      <c r="A53" s="105" t="n">
        <v>45782</v>
      </c>
      <c r="B53" s="106" t="inlineStr">
        <is>
          <t>2025-052</t>
        </is>
      </c>
      <c r="C53" s="106" t="inlineStr">
        <is>
          <t>Achats matières &amp; marchandises</t>
        </is>
      </c>
      <c r="D53" s="106" t="inlineStr">
        <is>
          <t>Achat</t>
        </is>
      </c>
      <c r="E53" s="107" t="inlineStr">
        <is>
          <t>4000</t>
        </is>
      </c>
      <c r="F53" s="107" t="inlineStr">
        <is>
          <t>2000</t>
        </is>
      </c>
      <c r="G53" s="108" t="n">
        <v>3900</v>
      </c>
      <c r="H53" s="107" t="inlineStr">
        <is>
          <t>N</t>
        </is>
      </c>
      <c r="I53" s="109">
        <f>IFERROR(INDEX(TVA_taux,MATCH(H53,TVA_codes,0)),0)</f>
        <v>0.081</v>
      </c>
      <c r="J53" s="108">
        <f>ROUND(G53*I53,2)</f>
        <v>315.9</v>
      </c>
      <c r="K53" s="108">
        <f>G53+J53</f>
        <v>4215.9</v>
      </c>
      <c r="L53" s="107" t="str">
        <f>IF(J53=0,"",IF(INDEX(Base,MATCH(E53,Comptes,0))="HT","1176",IF(INDEX(Base,MATCH(F53,Comptes,0))="HT","2200","ERREUR")))</f>
        <v>1176</v>
      </c>
    </row>
    <row r="54">
      <c r="A54" s="105" t="n">
        <v>45792</v>
      </c>
      <c r="B54" s="106" t="inlineStr">
        <is>
          <t>2025-053</t>
        </is>
      </c>
      <c r="C54" s="106" t="inlineStr">
        <is>
          <t>Ventes de mobilier</t>
        </is>
      </c>
      <c r="D54" s="106" t="inlineStr">
        <is>
          <t>Vente</t>
        </is>
      </c>
      <c r="E54" s="107" t="inlineStr">
        <is>
          <t>1100</t>
        </is>
      </c>
      <c r="F54" s="107" t="inlineStr">
        <is>
          <t>3200</t>
        </is>
      </c>
      <c r="G54" s="108" t="n">
        <v>5400</v>
      </c>
      <c r="H54" s="107" t="inlineStr">
        <is>
          <t>N</t>
        </is>
      </c>
      <c r="I54" s="109">
        <f>IFERROR(INDEX(TVA_taux,MATCH(H54,TVA_codes,0)),0)</f>
        <v>0.081</v>
      </c>
      <c r="J54" s="108">
        <f>ROUND(G54*I54,2)</f>
        <v>437.4</v>
      </c>
      <c r="K54" s="108">
        <f>G54+J54</f>
        <v>5837.4</v>
      </c>
      <c r="L54" s="107" t="str">
        <f>IF(J54=0,"",IF(INDEX(Base,MATCH(E54,Comptes,0))="HT","1176",IF(INDEX(Base,MATCH(F54,Comptes,0))="HT","2200","ERREUR")))</f>
        <v>2200</v>
      </c>
    </row>
    <row r="55">
      <c r="A55" s="105" t="n">
        <v>45792</v>
      </c>
      <c r="B55" s="106" t="inlineStr">
        <is>
          <t>2025-054</t>
        </is>
      </c>
      <c r="C55" s="106" t="inlineStr">
        <is>
          <t>Fournitures &amp; administration</t>
        </is>
      </c>
      <c r="D55" s="106" t="inlineStr">
        <is>
          <t>Charge</t>
        </is>
      </c>
      <c r="E55" s="107" t="inlineStr">
        <is>
          <t>6500</t>
        </is>
      </c>
      <c r="F55" s="107" t="inlineStr">
        <is>
          <t>1020</t>
        </is>
      </c>
      <c r="G55" s="108" t="n">
        <v>250</v>
      </c>
      <c r="H55" s="107" t="inlineStr">
        <is>
          <t>N</t>
        </is>
      </c>
      <c r="I55" s="109">
        <f>IFERROR(INDEX(TVA_taux,MATCH(H55,TVA_codes,0)),0)</f>
        <v>0.081</v>
      </c>
      <c r="J55" s="108">
        <f>ROUND(G55*I55,2)</f>
        <v>20.25</v>
      </c>
      <c r="K55" s="108">
        <f>G55+J55</f>
        <v>270.25</v>
      </c>
      <c r="L55" s="107" t="str">
        <f>IF(J55=0,"",IF(INDEX(Base,MATCH(E55,Comptes,0))="HT","1176",IF(INDEX(Base,MATCH(F55,Comptes,0))="HT","2200","ERREUR")))</f>
        <v>1176</v>
      </c>
    </row>
    <row r="56">
      <c r="A56" s="105" t="n">
        <v>45792</v>
      </c>
      <c r="B56" s="106" t="inlineStr">
        <is>
          <t>2025-055</t>
        </is>
      </c>
      <c r="C56" s="106" t="inlineStr">
        <is>
          <t>Publicité &amp; marketing</t>
        </is>
      </c>
      <c r="D56" s="106" t="inlineStr">
        <is>
          <t>Charge</t>
        </is>
      </c>
      <c r="E56" s="107" t="inlineStr">
        <is>
          <t>6600</t>
        </is>
      </c>
      <c r="F56" s="107" t="inlineStr">
        <is>
          <t>1020</t>
        </is>
      </c>
      <c r="G56" s="108" t="n">
        <v>1200</v>
      </c>
      <c r="H56" s="107" t="inlineStr">
        <is>
          <t>N</t>
        </is>
      </c>
      <c r="I56" s="109">
        <f>IFERROR(INDEX(TVA_taux,MATCH(H56,TVA_codes,0)),0)</f>
        <v>0.081</v>
      </c>
      <c r="J56" s="108">
        <f>ROUND(G56*I56,2)</f>
        <v>97.2</v>
      </c>
      <c r="K56" s="108">
        <f>G56+J56</f>
        <v>1297.2</v>
      </c>
      <c r="L56" s="107" t="str">
        <f>IF(J56=0,"",IF(INDEX(Base,MATCH(E56,Comptes,0))="HT","1176",IF(INDEX(Base,MATCH(F56,Comptes,0))="HT","2200","ERREUR")))</f>
        <v>1176</v>
      </c>
    </row>
    <row r="57">
      <c r="A57" s="105" t="n">
        <v>45802</v>
      </c>
      <c r="B57" s="106" t="inlineStr">
        <is>
          <t>2025-056</t>
        </is>
      </c>
      <c r="C57" s="106" t="inlineStr">
        <is>
          <t>Loyer atelier</t>
        </is>
      </c>
      <c r="D57" s="106" t="inlineStr">
        <is>
          <t>Charge</t>
        </is>
      </c>
      <c r="E57" s="107" t="inlineStr">
        <is>
          <t>6000</t>
        </is>
      </c>
      <c r="F57" s="107" t="inlineStr">
        <is>
          <t>1020</t>
        </is>
      </c>
      <c r="G57" s="108" t="n">
        <v>1800</v>
      </c>
      <c r="H57" s="107" t="inlineStr">
        <is>
          <t>E</t>
        </is>
      </c>
      <c r="I57" s="109">
        <f>IFERROR(INDEX(TVA_taux,MATCH(H57,TVA_codes,0)),0)</f>
        <v>0</v>
      </c>
      <c r="J57" s="108">
        <f>ROUND(G57*I57,2)</f>
        <v>0</v>
      </c>
      <c r="K57" s="108">
        <f>G57+J57</f>
        <v>1800</v>
      </c>
      <c r="L57" s="107">
        <f>IF(J57=0,"",IF(INDEX(Base,MATCH(E57,Comptes,0))="HT","1176",IF(INDEX(Base,MATCH(F57,Comptes,0))="HT","2200","ERREUR")))</f>
        <v/>
      </c>
    </row>
    <row r="58">
      <c r="A58" s="105" t="n">
        <v>45802</v>
      </c>
      <c r="B58" s="106" t="inlineStr">
        <is>
          <t>2025-057</t>
        </is>
      </c>
      <c r="C58" s="106" t="inlineStr">
        <is>
          <t>Salaires bruts du mois (décompte)</t>
        </is>
      </c>
      <c r="D58" s="106" t="inlineStr">
        <is>
          <t>Salaire</t>
        </is>
      </c>
      <c r="E58" s="107" t="inlineStr">
        <is>
          <t>5000</t>
        </is>
      </c>
      <c r="F58" s="107" t="inlineStr">
        <is>
          <t>2270</t>
        </is>
      </c>
      <c r="G58" s="108" t="n">
        <v>8500</v>
      </c>
      <c r="H58" s="107" t="inlineStr">
        <is>
          <t>E</t>
        </is>
      </c>
      <c r="I58" s="109">
        <f>IFERROR(INDEX(TVA_taux,MATCH(H58,TVA_codes,0)),0)</f>
        <v>0</v>
      </c>
      <c r="J58" s="108">
        <f>ROUND(G58*I58,2)</f>
        <v>0</v>
      </c>
      <c r="K58" s="108">
        <f>G58+J58</f>
        <v>8500</v>
      </c>
      <c r="L58" s="107">
        <f>IF(J58=0,"",IF(INDEX(Base,MATCH(E58,Comptes,0))="HT","1176",IF(INDEX(Base,MATCH(F58,Comptes,0))="HT","2200","ERREUR")))</f>
        <v/>
      </c>
    </row>
    <row r="59">
      <c r="A59" s="105" t="n">
        <v>45802</v>
      </c>
      <c r="B59" s="106" t="inlineStr">
        <is>
          <t>2025-058</t>
        </is>
      </c>
      <c r="C59" s="106" t="inlineStr">
        <is>
          <t>Salaires nets versés</t>
        </is>
      </c>
      <c r="D59" s="106" t="inlineStr">
        <is>
          <t>Salaire</t>
        </is>
      </c>
      <c r="E59" s="107" t="inlineStr">
        <is>
          <t>2270</t>
        </is>
      </c>
      <c r="F59" s="107" t="inlineStr">
        <is>
          <t>1020</t>
        </is>
      </c>
      <c r="G59" s="108" t="n">
        <v>7725.07</v>
      </c>
      <c r="H59" s="107" t="inlineStr">
        <is>
          <t>E</t>
        </is>
      </c>
      <c r="I59" s="109">
        <f>IFERROR(INDEX(TVA_taux,MATCH(H59,TVA_codes,0)),0)</f>
        <v>0</v>
      </c>
      <c r="J59" s="108">
        <f>ROUND(G59*I59,2)</f>
        <v>0</v>
      </c>
      <c r="K59" s="108">
        <f>G59+J59</f>
        <v>7725.07</v>
      </c>
      <c r="L59" s="107">
        <f>IF(J59=0,"",IF(INDEX(Base,MATCH(E59,Comptes,0))="HT","1176",IF(INDEX(Base,MATCH(F59,Comptes,0))="HT","2200","ERREUR")))</f>
        <v/>
      </c>
    </row>
    <row r="60">
      <c r="A60" s="105" t="n">
        <v>45802</v>
      </c>
      <c r="B60" s="106" t="inlineStr">
        <is>
          <t>2025-059</t>
        </is>
      </c>
      <c r="C60" s="106" t="inlineStr">
        <is>
          <t>Charges sociales patronales du mois (décompte)</t>
        </is>
      </c>
      <c r="D60" s="106" t="inlineStr">
        <is>
          <t>Salaire</t>
        </is>
      </c>
      <c r="E60" s="107" t="inlineStr">
        <is>
          <t>5700</t>
        </is>
      </c>
      <c r="F60" s="107" t="inlineStr">
        <is>
          <t>2270</t>
        </is>
      </c>
      <c r="G60" s="108" t="n">
        <v>962.42</v>
      </c>
      <c r="H60" s="107" t="inlineStr">
        <is>
          <t>E</t>
        </is>
      </c>
      <c r="I60" s="109">
        <f>IFERROR(INDEX(TVA_taux,MATCH(H60,TVA_codes,0)),0)</f>
        <v>0</v>
      </c>
      <c r="J60" s="108">
        <f>ROUND(G60*I60,2)</f>
        <v>0</v>
      </c>
      <c r="K60" s="108">
        <f>G60+J60</f>
        <v>962.42</v>
      </c>
      <c r="L60" s="107">
        <f>IF(J60=0,"",IF(INDEX(Base,MATCH(E60,Comptes,0))="HT","1176",IF(INDEX(Base,MATCH(F60,Comptes,0))="HT","2200","ERREUR")))</f>
        <v/>
      </c>
    </row>
    <row r="61">
      <c r="A61" s="105" t="n">
        <v>45804</v>
      </c>
      <c r="B61" s="106" t="inlineStr">
        <is>
          <t>2025-060</t>
        </is>
      </c>
      <c r="C61" s="106" t="inlineStr">
        <is>
          <t>Paiement fournisseurs</t>
        </is>
      </c>
      <c r="D61" s="106" t="inlineStr">
        <is>
          <t>Règlement</t>
        </is>
      </c>
      <c r="E61" s="107" t="inlineStr">
        <is>
          <t>2000</t>
        </is>
      </c>
      <c r="F61" s="107" t="inlineStr">
        <is>
          <t>1020</t>
        </is>
      </c>
      <c r="G61" s="108" t="n">
        <v>3435.9</v>
      </c>
      <c r="H61" s="107" t="inlineStr">
        <is>
          <t>E</t>
        </is>
      </c>
      <c r="I61" s="109">
        <f>IFERROR(INDEX(TVA_taux,MATCH(H61,TVA_codes,0)),0)</f>
        <v>0</v>
      </c>
      <c r="J61" s="108">
        <f>ROUND(G61*I61,2)</f>
        <v>0</v>
      </c>
      <c r="K61" s="108">
        <f>G61+J61</f>
        <v>3435.9</v>
      </c>
      <c r="L61" s="107">
        <f>IF(J61=0,"",IF(INDEX(Base,MATCH(E61,Comptes,0))="HT","1176",IF(INDEX(Base,MATCH(F61,Comptes,0))="HT","2200","ERREUR")))</f>
        <v/>
      </c>
    </row>
    <row r="62">
      <c r="A62" s="105" t="n">
        <v>45805</v>
      </c>
      <c r="B62" s="106" t="inlineStr">
        <is>
          <t>2025-061</t>
        </is>
      </c>
      <c r="C62" s="106" t="inlineStr">
        <is>
          <t>Encaissement clients</t>
        </is>
      </c>
      <c r="D62" s="106" t="inlineStr">
        <is>
          <t>Règlement</t>
        </is>
      </c>
      <c r="E62" s="107" t="inlineStr">
        <is>
          <t>1020</t>
        </is>
      </c>
      <c r="F62" s="107" t="inlineStr">
        <is>
          <t>1100</t>
        </is>
      </c>
      <c r="G62" s="108" t="n">
        <v>17595.9</v>
      </c>
      <c r="H62" s="107" t="inlineStr">
        <is>
          <t>E</t>
        </is>
      </c>
      <c r="I62" s="109">
        <f>IFERROR(INDEX(TVA_taux,MATCH(H62,TVA_codes,0)),0)</f>
        <v>0</v>
      </c>
      <c r="J62" s="108">
        <f>ROUND(G62*I62,2)</f>
        <v>0</v>
      </c>
      <c r="K62" s="108">
        <f>G62+J62</f>
        <v>17595.9</v>
      </c>
      <c r="L62" s="107">
        <f>IF(J62=0,"",IF(INDEX(Base,MATCH(E62,Comptes,0))="HT","1176",IF(INDEX(Base,MATCH(F62,Comptes,0))="HT","2200","ERREUR")))</f>
        <v/>
      </c>
    </row>
    <row r="63">
      <c r="A63" s="105" t="n">
        <v>45808</v>
      </c>
      <c r="B63" s="106" t="inlineStr">
        <is>
          <t>2025-062</t>
        </is>
      </c>
      <c r="C63" s="106" t="inlineStr">
        <is>
          <t>Décompte TVA T1 — compensation impôt préalable</t>
        </is>
      </c>
      <c r="D63" s="106" t="inlineStr">
        <is>
          <t>TVA</t>
        </is>
      </c>
      <c r="E63" s="107" t="inlineStr">
        <is>
          <t>2200</t>
        </is>
      </c>
      <c r="F63" s="107" t="inlineStr">
        <is>
          <t>1176</t>
        </is>
      </c>
      <c r="G63" s="108" t="n">
        <v>6362.55</v>
      </c>
      <c r="H63" s="107" t="inlineStr">
        <is>
          <t>E</t>
        </is>
      </c>
      <c r="I63" s="109">
        <f>IFERROR(INDEX(TVA_taux,MATCH(H63,TVA_codes,0)),0)</f>
        <v>0</v>
      </c>
      <c r="J63" s="108">
        <f>ROUND(G63*I63,2)</f>
        <v>0</v>
      </c>
      <c r="K63" s="108">
        <f>G63+J63</f>
        <v>6362.55</v>
      </c>
      <c r="L63" s="107">
        <f>IF(J63=0,"",IF(INDEX(Base,MATCH(E63,Comptes,0))="HT","1176",IF(INDEX(Base,MATCH(F63,Comptes,0))="HT","2200","ERREUR")))</f>
        <v/>
      </c>
    </row>
    <row r="64">
      <c r="A64" s="105" t="n">
        <v>45808</v>
      </c>
      <c r="B64" s="106" t="inlineStr">
        <is>
          <t>2025-063</t>
        </is>
      </c>
      <c r="C64" s="106" t="inlineStr">
        <is>
          <t>Décompte TVA T1 — remboursement AFC</t>
        </is>
      </c>
      <c r="D64" s="106" t="inlineStr">
        <is>
          <t>TVA</t>
        </is>
      </c>
      <c r="E64" s="107" t="inlineStr">
        <is>
          <t>1020</t>
        </is>
      </c>
      <c r="F64" s="107" t="inlineStr">
        <is>
          <t>2200</t>
        </is>
      </c>
      <c r="G64" s="108" t="n">
        <v>2749.95</v>
      </c>
      <c r="H64" s="107" t="inlineStr">
        <is>
          <t>E</t>
        </is>
      </c>
      <c r="I64" s="109">
        <f>IFERROR(INDEX(TVA_taux,MATCH(H64,TVA_codes,0)),0)</f>
        <v>0</v>
      </c>
      <c r="J64" s="108">
        <f>ROUND(G64*I64,2)</f>
        <v>0</v>
      </c>
      <c r="K64" s="108">
        <f>G64+J64</f>
        <v>2749.95</v>
      </c>
      <c r="L64" s="107">
        <f>IF(J64=0,"",IF(INDEX(Base,MATCH(E64,Comptes,0))="HT","1176",IF(INDEX(Base,MATCH(F64,Comptes,0))="HT","2200","ERREUR")))</f>
        <v/>
      </c>
    </row>
    <row r="65">
      <c r="A65" s="105" t="n">
        <v>45813</v>
      </c>
      <c r="B65" s="106" t="inlineStr">
        <is>
          <t>2025-064</t>
        </is>
      </c>
      <c r="C65" s="106" t="inlineStr">
        <is>
          <t>Prestations d'atelier</t>
        </is>
      </c>
      <c r="D65" s="106" t="inlineStr">
        <is>
          <t>Vente</t>
        </is>
      </c>
      <c r="E65" s="107" t="inlineStr">
        <is>
          <t>1100</t>
        </is>
      </c>
      <c r="F65" s="107" t="inlineStr">
        <is>
          <t>3000</t>
        </is>
      </c>
      <c r="G65" s="108" t="n">
        <v>14200</v>
      </c>
      <c r="H65" s="107" t="inlineStr">
        <is>
          <t>N</t>
        </is>
      </c>
      <c r="I65" s="109">
        <f>IFERROR(INDEX(TVA_taux,MATCH(H65,TVA_codes,0)),0)</f>
        <v>0.081</v>
      </c>
      <c r="J65" s="108">
        <f>ROUND(G65*I65,2)</f>
        <v>1150.2</v>
      </c>
      <c r="K65" s="108">
        <f>G65+J65</f>
        <v>15350.2</v>
      </c>
      <c r="L65" s="107" t="str">
        <f>IF(J65=0,"",IF(INDEX(Base,MATCH(E65,Comptes,0))="HT","1176",IF(INDEX(Base,MATCH(F65,Comptes,0))="HT","2200","ERREUR")))</f>
        <v>2200</v>
      </c>
    </row>
    <row r="66">
      <c r="A66" s="105" t="n">
        <v>45813</v>
      </c>
      <c r="B66" s="106" t="inlineStr">
        <is>
          <t>2025-065</t>
        </is>
      </c>
      <c r="C66" s="106" t="inlineStr">
        <is>
          <t>Achats matières &amp; marchandises</t>
        </is>
      </c>
      <c r="D66" s="106" t="inlineStr">
        <is>
          <t>Achat</t>
        </is>
      </c>
      <c r="E66" s="107" t="inlineStr">
        <is>
          <t>4000</t>
        </is>
      </c>
      <c r="F66" s="107" t="inlineStr">
        <is>
          <t>2000</t>
        </is>
      </c>
      <c r="G66" s="108" t="n">
        <v>4300</v>
      </c>
      <c r="H66" s="107" t="inlineStr">
        <is>
          <t>N</t>
        </is>
      </c>
      <c r="I66" s="109">
        <f>IFERROR(INDEX(TVA_taux,MATCH(H66,TVA_codes,0)),0)</f>
        <v>0.081</v>
      </c>
      <c r="J66" s="108">
        <f>ROUND(G66*I66,2)</f>
        <v>348.3</v>
      </c>
      <c r="K66" s="108">
        <f>G66+J66</f>
        <v>4648.3</v>
      </c>
      <c r="L66" s="107" t="str">
        <f>IF(J66=0,"",IF(INDEX(Base,MATCH(E66,Comptes,0))="HT","1176",IF(INDEX(Base,MATCH(F66,Comptes,0))="HT","2200","ERREUR")))</f>
        <v>1176</v>
      </c>
    </row>
    <row r="67">
      <c r="A67" s="105" t="n">
        <v>45823</v>
      </c>
      <c r="B67" s="106" t="inlineStr">
        <is>
          <t>2025-066</t>
        </is>
      </c>
      <c r="C67" s="106" t="inlineStr">
        <is>
          <t>Ventes de mobilier</t>
        </is>
      </c>
      <c r="D67" s="106" t="inlineStr">
        <is>
          <t>Vente</t>
        </is>
      </c>
      <c r="E67" s="107" t="inlineStr">
        <is>
          <t>1100</t>
        </is>
      </c>
      <c r="F67" s="107" t="inlineStr">
        <is>
          <t>3200</t>
        </is>
      </c>
      <c r="G67" s="108" t="n">
        <v>6100</v>
      </c>
      <c r="H67" s="107" t="inlineStr">
        <is>
          <t>N</t>
        </is>
      </c>
      <c r="I67" s="109">
        <f>IFERROR(INDEX(TVA_taux,MATCH(H67,TVA_codes,0)),0)</f>
        <v>0.081</v>
      </c>
      <c r="J67" s="108">
        <f>ROUND(G67*I67,2)</f>
        <v>494.1</v>
      </c>
      <c r="K67" s="108">
        <f>G67+J67</f>
        <v>6594.1</v>
      </c>
      <c r="L67" s="107" t="str">
        <f>IF(J67=0,"",IF(INDEX(Base,MATCH(E67,Comptes,0))="HT","1176",IF(INDEX(Base,MATCH(F67,Comptes,0))="HT","2200","ERREUR")))</f>
        <v>2200</v>
      </c>
    </row>
    <row r="68">
      <c r="A68" s="105" t="n">
        <v>45823</v>
      </c>
      <c r="B68" s="106" t="inlineStr">
        <is>
          <t>2025-067</t>
        </is>
      </c>
      <c r="C68" s="106" t="inlineStr">
        <is>
          <t>Fournitures &amp; administration</t>
        </is>
      </c>
      <c r="D68" s="106" t="inlineStr">
        <is>
          <t>Charge</t>
        </is>
      </c>
      <c r="E68" s="107" t="inlineStr">
        <is>
          <t>6500</t>
        </is>
      </c>
      <c r="F68" s="107" t="inlineStr">
        <is>
          <t>1020</t>
        </is>
      </c>
      <c r="G68" s="108" t="n">
        <v>300</v>
      </c>
      <c r="H68" s="107" t="inlineStr">
        <is>
          <t>N</t>
        </is>
      </c>
      <c r="I68" s="109">
        <f>IFERROR(INDEX(TVA_taux,MATCH(H68,TVA_codes,0)),0)</f>
        <v>0.081</v>
      </c>
      <c r="J68" s="108">
        <f>ROUND(G68*I68,2)</f>
        <v>24.3</v>
      </c>
      <c r="K68" s="108">
        <f>G68+J68</f>
        <v>324.3</v>
      </c>
      <c r="L68" s="107" t="str">
        <f>IF(J68=0,"",IF(INDEX(Base,MATCH(E68,Comptes,0))="HT","1176",IF(INDEX(Base,MATCH(F68,Comptes,0))="HT","2200","ERREUR")))</f>
        <v>1176</v>
      </c>
    </row>
    <row r="69">
      <c r="A69" s="105" t="n">
        <v>45833</v>
      </c>
      <c r="B69" s="106" t="inlineStr">
        <is>
          <t>2025-068</t>
        </is>
      </c>
      <c r="C69" s="106" t="inlineStr">
        <is>
          <t>Loyer atelier</t>
        </is>
      </c>
      <c r="D69" s="106" t="inlineStr">
        <is>
          <t>Charge</t>
        </is>
      </c>
      <c r="E69" s="107" t="inlineStr">
        <is>
          <t>6000</t>
        </is>
      </c>
      <c r="F69" s="107" t="inlineStr">
        <is>
          <t>1020</t>
        </is>
      </c>
      <c r="G69" s="108" t="n">
        <v>1800</v>
      </c>
      <c r="H69" s="107" t="inlineStr">
        <is>
          <t>E</t>
        </is>
      </c>
      <c r="I69" s="109">
        <f>IFERROR(INDEX(TVA_taux,MATCH(H69,TVA_codes,0)),0)</f>
        <v>0</v>
      </c>
      <c r="J69" s="108">
        <f>ROUND(G69*I69,2)</f>
        <v>0</v>
      </c>
      <c r="K69" s="108">
        <f>G69+J69</f>
        <v>1800</v>
      </c>
      <c r="L69" s="107">
        <f>IF(J69=0,"",IF(INDEX(Base,MATCH(E69,Comptes,0))="HT","1176",IF(INDEX(Base,MATCH(F69,Comptes,0))="HT","2200","ERREUR")))</f>
        <v/>
      </c>
    </row>
    <row r="70">
      <c r="A70" s="105" t="n">
        <v>45833</v>
      </c>
      <c r="B70" s="106" t="inlineStr">
        <is>
          <t>2025-069</t>
        </is>
      </c>
      <c r="C70" s="106" t="inlineStr">
        <is>
          <t>Salaires bruts du mois (décompte)</t>
        </is>
      </c>
      <c r="D70" s="106" t="inlineStr">
        <is>
          <t>Salaire</t>
        </is>
      </c>
      <c r="E70" s="107" t="inlineStr">
        <is>
          <t>5000</t>
        </is>
      </c>
      <c r="F70" s="107" t="inlineStr">
        <is>
          <t>2270</t>
        </is>
      </c>
      <c r="G70" s="108" t="n">
        <v>8500</v>
      </c>
      <c r="H70" s="107" t="inlineStr">
        <is>
          <t>E</t>
        </is>
      </c>
      <c r="I70" s="109">
        <f>IFERROR(INDEX(TVA_taux,MATCH(H70,TVA_codes,0)),0)</f>
        <v>0</v>
      </c>
      <c r="J70" s="108">
        <f>ROUND(G70*I70,2)</f>
        <v>0</v>
      </c>
      <c r="K70" s="108">
        <f>G70+J70</f>
        <v>8500</v>
      </c>
      <c r="L70" s="107">
        <f>IF(J70=0,"",IF(INDEX(Base,MATCH(E70,Comptes,0))="HT","1176",IF(INDEX(Base,MATCH(F70,Comptes,0))="HT","2200","ERREUR")))</f>
        <v/>
      </c>
    </row>
    <row r="71">
      <c r="A71" s="105" t="n">
        <v>45833</v>
      </c>
      <c r="B71" s="106" t="inlineStr">
        <is>
          <t>2025-070</t>
        </is>
      </c>
      <c r="C71" s="106" t="inlineStr">
        <is>
          <t>Salaires nets versés</t>
        </is>
      </c>
      <c r="D71" s="106" t="inlineStr">
        <is>
          <t>Salaire</t>
        </is>
      </c>
      <c r="E71" s="107" t="inlineStr">
        <is>
          <t>2270</t>
        </is>
      </c>
      <c r="F71" s="107" t="inlineStr">
        <is>
          <t>1020</t>
        </is>
      </c>
      <c r="G71" s="108" t="n">
        <v>7725.07</v>
      </c>
      <c r="H71" s="107" t="inlineStr">
        <is>
          <t>E</t>
        </is>
      </c>
      <c r="I71" s="109">
        <f>IFERROR(INDEX(TVA_taux,MATCH(H71,TVA_codes,0)),0)</f>
        <v>0</v>
      </c>
      <c r="J71" s="108">
        <f>ROUND(G71*I71,2)</f>
        <v>0</v>
      </c>
      <c r="K71" s="108">
        <f>G71+J71</f>
        <v>7725.07</v>
      </c>
      <c r="L71" s="107">
        <f>IF(J71=0,"",IF(INDEX(Base,MATCH(E71,Comptes,0))="HT","1176",IF(INDEX(Base,MATCH(F71,Comptes,0))="HT","2200","ERREUR")))</f>
        <v/>
      </c>
    </row>
    <row r="72">
      <c r="A72" s="105" t="n">
        <v>45833</v>
      </c>
      <c r="B72" s="106" t="inlineStr">
        <is>
          <t>2025-071</t>
        </is>
      </c>
      <c r="C72" s="106" t="inlineStr">
        <is>
          <t>Charges sociales patronales du mois (décompte)</t>
        </is>
      </c>
      <c r="D72" s="106" t="inlineStr">
        <is>
          <t>Salaire</t>
        </is>
      </c>
      <c r="E72" s="107" t="inlineStr">
        <is>
          <t>5700</t>
        </is>
      </c>
      <c r="F72" s="107" t="inlineStr">
        <is>
          <t>2270</t>
        </is>
      </c>
      <c r="G72" s="108" t="n">
        <v>962.42</v>
      </c>
      <c r="H72" s="107" t="inlineStr">
        <is>
          <t>E</t>
        </is>
      </c>
      <c r="I72" s="109">
        <f>IFERROR(INDEX(TVA_taux,MATCH(H72,TVA_codes,0)),0)</f>
        <v>0</v>
      </c>
      <c r="J72" s="108">
        <f>ROUND(G72*I72,2)</f>
        <v>0</v>
      </c>
      <c r="K72" s="108">
        <f>G72+J72</f>
        <v>962.42</v>
      </c>
      <c r="L72" s="107">
        <f>IF(J72=0,"",IF(INDEX(Base,MATCH(E72,Comptes,0))="HT","1176",IF(INDEX(Base,MATCH(F72,Comptes,0))="HT","2200","ERREUR")))</f>
        <v/>
      </c>
    </row>
    <row r="73">
      <c r="A73" s="105" t="n">
        <v>45835</v>
      </c>
      <c r="B73" s="106" t="inlineStr">
        <is>
          <t>2025-072</t>
        </is>
      </c>
      <c r="C73" s="106" t="inlineStr">
        <is>
          <t>Paiement fournisseurs</t>
        </is>
      </c>
      <c r="D73" s="106" t="inlineStr">
        <is>
          <t>Règlement</t>
        </is>
      </c>
      <c r="E73" s="107" t="inlineStr">
        <is>
          <t>2000</t>
        </is>
      </c>
      <c r="F73" s="107" t="inlineStr">
        <is>
          <t>1020</t>
        </is>
      </c>
      <c r="G73" s="108" t="n">
        <v>3788.3</v>
      </c>
      <c r="H73" s="107" t="inlineStr">
        <is>
          <t>E</t>
        </is>
      </c>
      <c r="I73" s="109">
        <f>IFERROR(INDEX(TVA_taux,MATCH(H73,TVA_codes,0)),0)</f>
        <v>0</v>
      </c>
      <c r="J73" s="108">
        <f>ROUND(G73*I73,2)</f>
        <v>0</v>
      </c>
      <c r="K73" s="108">
        <f>G73+J73</f>
        <v>3788.3</v>
      </c>
      <c r="L73" s="107">
        <f>IF(J73=0,"",IF(INDEX(Base,MATCH(E73,Comptes,0))="HT","1176",IF(INDEX(Base,MATCH(F73,Comptes,0))="HT","2200","ERREUR")))</f>
        <v/>
      </c>
    </row>
    <row r="74">
      <c r="A74" s="105" t="n">
        <v>45836</v>
      </c>
      <c r="B74" s="106" t="inlineStr">
        <is>
          <t>2025-073</t>
        </is>
      </c>
      <c r="C74" s="106" t="inlineStr">
        <is>
          <t>Encaissement clients</t>
        </is>
      </c>
      <c r="D74" s="106" t="inlineStr">
        <is>
          <t>Règlement</t>
        </is>
      </c>
      <c r="E74" s="107" t="inlineStr">
        <is>
          <t>1020</t>
        </is>
      </c>
      <c r="F74" s="107" t="inlineStr">
        <is>
          <t>1100</t>
        </is>
      </c>
      <c r="G74" s="108" t="n">
        <v>18899.3</v>
      </c>
      <c r="H74" s="107" t="inlineStr">
        <is>
          <t>E</t>
        </is>
      </c>
      <c r="I74" s="109">
        <f>IFERROR(INDEX(TVA_taux,MATCH(H74,TVA_codes,0)),0)</f>
        <v>0</v>
      </c>
      <c r="J74" s="108">
        <f>ROUND(G74*I74,2)</f>
        <v>0</v>
      </c>
      <c r="K74" s="108">
        <f>G74+J74</f>
        <v>18899.3</v>
      </c>
      <c r="L74" s="107">
        <f>IF(J74=0,"",IF(INDEX(Base,MATCH(E74,Comptes,0))="HT","1176",IF(INDEX(Base,MATCH(F74,Comptes,0))="HT","2200","ERREUR")))</f>
        <v/>
      </c>
    </row>
    <row r="75">
      <c r="A75" s="105" t="n">
        <v>45843</v>
      </c>
      <c r="B75" s="106" t="inlineStr">
        <is>
          <t>2025-074</t>
        </is>
      </c>
      <c r="C75" s="106" t="inlineStr">
        <is>
          <t>Prestations d'atelier</t>
        </is>
      </c>
      <c r="D75" s="106" t="inlineStr">
        <is>
          <t>Vente</t>
        </is>
      </c>
      <c r="E75" s="107" t="inlineStr">
        <is>
          <t>1100</t>
        </is>
      </c>
      <c r="F75" s="107" t="inlineStr">
        <is>
          <t>3000</t>
        </is>
      </c>
      <c r="G75" s="108" t="n">
        <v>8600</v>
      </c>
      <c r="H75" s="107" t="inlineStr">
        <is>
          <t>N</t>
        </is>
      </c>
      <c r="I75" s="109">
        <f>IFERROR(INDEX(TVA_taux,MATCH(H75,TVA_codes,0)),0)</f>
        <v>0.081</v>
      </c>
      <c r="J75" s="108">
        <f>ROUND(G75*I75,2)</f>
        <v>696.6</v>
      </c>
      <c r="K75" s="108">
        <f>G75+J75</f>
        <v>9296.6</v>
      </c>
      <c r="L75" s="107" t="str">
        <f>IF(J75=0,"",IF(INDEX(Base,MATCH(E75,Comptes,0))="HT","1176",IF(INDEX(Base,MATCH(F75,Comptes,0))="HT","2200","ERREUR")))</f>
        <v>2200</v>
      </c>
    </row>
    <row r="76">
      <c r="A76" s="105" t="n">
        <v>45843</v>
      </c>
      <c r="B76" s="106" t="inlineStr">
        <is>
          <t>2025-075</t>
        </is>
      </c>
      <c r="C76" s="106" t="inlineStr">
        <is>
          <t>Achats matières &amp; marchandises</t>
        </is>
      </c>
      <c r="D76" s="106" t="inlineStr">
        <is>
          <t>Achat</t>
        </is>
      </c>
      <c r="E76" s="107" t="inlineStr">
        <is>
          <t>4000</t>
        </is>
      </c>
      <c r="F76" s="107" t="inlineStr">
        <is>
          <t>2000</t>
        </is>
      </c>
      <c r="G76" s="108" t="n">
        <v>2400</v>
      </c>
      <c r="H76" s="107" t="inlineStr">
        <is>
          <t>N</t>
        </is>
      </c>
      <c r="I76" s="109">
        <f>IFERROR(INDEX(TVA_taux,MATCH(H76,TVA_codes,0)),0)</f>
        <v>0.081</v>
      </c>
      <c r="J76" s="108">
        <f>ROUND(G76*I76,2)</f>
        <v>194.4</v>
      </c>
      <c r="K76" s="108">
        <f>G76+J76</f>
        <v>2594.4</v>
      </c>
      <c r="L76" s="107" t="str">
        <f>IF(J76=0,"",IF(INDEX(Base,MATCH(E76,Comptes,0))="HT","1176",IF(INDEX(Base,MATCH(F76,Comptes,0))="HT","2200","ERREUR")))</f>
        <v>1176</v>
      </c>
    </row>
    <row r="77">
      <c r="A77" s="105" t="n">
        <v>45853</v>
      </c>
      <c r="B77" s="106" t="inlineStr">
        <is>
          <t>2025-076</t>
        </is>
      </c>
      <c r="C77" s="106" t="inlineStr">
        <is>
          <t>Ventes de mobilier</t>
        </is>
      </c>
      <c r="D77" s="106" t="inlineStr">
        <is>
          <t>Vente</t>
        </is>
      </c>
      <c r="E77" s="107" t="inlineStr">
        <is>
          <t>1100</t>
        </is>
      </c>
      <c r="F77" s="107" t="inlineStr">
        <is>
          <t>3200</t>
        </is>
      </c>
      <c r="G77" s="108" t="n">
        <v>3200</v>
      </c>
      <c r="H77" s="107" t="inlineStr">
        <is>
          <t>N</t>
        </is>
      </c>
      <c r="I77" s="109">
        <f>IFERROR(INDEX(TVA_taux,MATCH(H77,TVA_codes,0)),0)</f>
        <v>0.081</v>
      </c>
      <c r="J77" s="108">
        <f>ROUND(G77*I77,2)</f>
        <v>259.2</v>
      </c>
      <c r="K77" s="108">
        <f>G77+J77</f>
        <v>3459.2</v>
      </c>
      <c r="L77" s="107" t="str">
        <f>IF(J77=0,"",IF(INDEX(Base,MATCH(E77,Comptes,0))="HT","1176",IF(INDEX(Base,MATCH(F77,Comptes,0))="HT","2200","ERREUR")))</f>
        <v>2200</v>
      </c>
    </row>
    <row r="78">
      <c r="A78" s="105" t="n">
        <v>45853</v>
      </c>
      <c r="B78" s="106" t="inlineStr">
        <is>
          <t>2025-077</t>
        </is>
      </c>
      <c r="C78" s="106" t="inlineStr">
        <is>
          <t>Fournitures &amp; administration</t>
        </is>
      </c>
      <c r="D78" s="106" t="inlineStr">
        <is>
          <t>Charge</t>
        </is>
      </c>
      <c r="E78" s="107" t="inlineStr">
        <is>
          <t>6500</t>
        </is>
      </c>
      <c r="F78" s="107" t="inlineStr">
        <is>
          <t>1020</t>
        </is>
      </c>
      <c r="G78" s="108" t="n">
        <v>190</v>
      </c>
      <c r="H78" s="107" t="inlineStr">
        <is>
          <t>N</t>
        </is>
      </c>
      <c r="I78" s="109">
        <f>IFERROR(INDEX(TVA_taux,MATCH(H78,TVA_codes,0)),0)</f>
        <v>0.081</v>
      </c>
      <c r="J78" s="108">
        <f>ROUND(G78*I78,2)</f>
        <v>15.39</v>
      </c>
      <c r="K78" s="108">
        <f>G78+J78</f>
        <v>205.39</v>
      </c>
      <c r="L78" s="107" t="str">
        <f>IF(J78=0,"",IF(INDEX(Base,MATCH(E78,Comptes,0))="HT","1176",IF(INDEX(Base,MATCH(F78,Comptes,0))="HT","2200","ERREUR")))</f>
        <v>1176</v>
      </c>
    </row>
    <row r="79">
      <c r="A79" s="105" t="n">
        <v>45853</v>
      </c>
      <c r="B79" s="106" t="inlineStr">
        <is>
          <t>2025-078</t>
        </is>
      </c>
      <c r="C79" s="106" t="inlineStr">
        <is>
          <t>Abonnements &amp; informatique</t>
        </is>
      </c>
      <c r="D79" s="106" t="inlineStr">
        <is>
          <t>Charge</t>
        </is>
      </c>
      <c r="E79" s="107" t="inlineStr">
        <is>
          <t>6570</t>
        </is>
      </c>
      <c r="F79" s="107" t="inlineStr">
        <is>
          <t>1020</t>
        </is>
      </c>
      <c r="G79" s="108" t="n">
        <v>180</v>
      </c>
      <c r="H79" s="107" t="inlineStr">
        <is>
          <t>N</t>
        </is>
      </c>
      <c r="I79" s="109">
        <f>IFERROR(INDEX(TVA_taux,MATCH(H79,TVA_codes,0)),0)</f>
        <v>0.081</v>
      </c>
      <c r="J79" s="108">
        <f>ROUND(G79*I79,2)</f>
        <v>14.58</v>
      </c>
      <c r="K79" s="108">
        <f>G79+J79</f>
        <v>194.58</v>
      </c>
      <c r="L79" s="107" t="str">
        <f>IF(J79=0,"",IF(INDEX(Base,MATCH(E79,Comptes,0))="HT","1176",IF(INDEX(Base,MATCH(F79,Comptes,0))="HT","2200","ERREUR")))</f>
        <v>1176</v>
      </c>
    </row>
    <row r="80">
      <c r="A80" s="105" t="n">
        <v>45863</v>
      </c>
      <c r="B80" s="106" t="inlineStr">
        <is>
          <t>2025-079</t>
        </is>
      </c>
      <c r="C80" s="106" t="inlineStr">
        <is>
          <t>Loyer atelier</t>
        </is>
      </c>
      <c r="D80" s="106" t="inlineStr">
        <is>
          <t>Charge</t>
        </is>
      </c>
      <c r="E80" s="107" t="inlineStr">
        <is>
          <t>6000</t>
        </is>
      </c>
      <c r="F80" s="107" t="inlineStr">
        <is>
          <t>1020</t>
        </is>
      </c>
      <c r="G80" s="108" t="n">
        <v>1800</v>
      </c>
      <c r="H80" s="107" t="inlineStr">
        <is>
          <t>E</t>
        </is>
      </c>
      <c r="I80" s="109">
        <f>IFERROR(INDEX(TVA_taux,MATCH(H80,TVA_codes,0)),0)</f>
        <v>0</v>
      </c>
      <c r="J80" s="108">
        <f>ROUND(G80*I80,2)</f>
        <v>0</v>
      </c>
      <c r="K80" s="108">
        <f>G80+J80</f>
        <v>1800</v>
      </c>
      <c r="L80" s="107">
        <f>IF(J80=0,"",IF(INDEX(Base,MATCH(E80,Comptes,0))="HT","1176",IF(INDEX(Base,MATCH(F80,Comptes,0))="HT","2200","ERREUR")))</f>
        <v/>
      </c>
    </row>
    <row r="81">
      <c r="A81" s="105" t="n">
        <v>45863</v>
      </c>
      <c r="B81" s="106" t="inlineStr">
        <is>
          <t>2025-080</t>
        </is>
      </c>
      <c r="C81" s="106" t="inlineStr">
        <is>
          <t>Salaires bruts du mois (décompte)</t>
        </is>
      </c>
      <c r="D81" s="106" t="inlineStr">
        <is>
          <t>Salaire</t>
        </is>
      </c>
      <c r="E81" s="107" t="inlineStr">
        <is>
          <t>5000</t>
        </is>
      </c>
      <c r="F81" s="107" t="inlineStr">
        <is>
          <t>2270</t>
        </is>
      </c>
      <c r="G81" s="108" t="n">
        <v>8500</v>
      </c>
      <c r="H81" s="107" t="inlineStr">
        <is>
          <t>E</t>
        </is>
      </c>
      <c r="I81" s="109">
        <f>IFERROR(INDEX(TVA_taux,MATCH(H81,TVA_codes,0)),0)</f>
        <v>0</v>
      </c>
      <c r="J81" s="108">
        <f>ROUND(G81*I81,2)</f>
        <v>0</v>
      </c>
      <c r="K81" s="108">
        <f>G81+J81</f>
        <v>8500</v>
      </c>
      <c r="L81" s="107">
        <f>IF(J81=0,"",IF(INDEX(Base,MATCH(E81,Comptes,0))="HT","1176",IF(INDEX(Base,MATCH(F81,Comptes,0))="HT","2200","ERREUR")))</f>
        <v/>
      </c>
    </row>
    <row r="82">
      <c r="A82" s="105" t="n">
        <v>45863</v>
      </c>
      <c r="B82" s="106" t="inlineStr">
        <is>
          <t>2025-081</t>
        </is>
      </c>
      <c r="C82" s="106" t="inlineStr">
        <is>
          <t>Salaires nets versés</t>
        </is>
      </c>
      <c r="D82" s="106" t="inlineStr">
        <is>
          <t>Salaire</t>
        </is>
      </c>
      <c r="E82" s="107" t="inlineStr">
        <is>
          <t>2270</t>
        </is>
      </c>
      <c r="F82" s="107" t="inlineStr">
        <is>
          <t>1020</t>
        </is>
      </c>
      <c r="G82" s="108" t="n">
        <v>7725.07</v>
      </c>
      <c r="H82" s="107" t="inlineStr">
        <is>
          <t>E</t>
        </is>
      </c>
      <c r="I82" s="109">
        <f>IFERROR(INDEX(TVA_taux,MATCH(H82,TVA_codes,0)),0)</f>
        <v>0</v>
      </c>
      <c r="J82" s="108">
        <f>ROUND(G82*I82,2)</f>
        <v>0</v>
      </c>
      <c r="K82" s="108">
        <f>G82+J82</f>
        <v>7725.07</v>
      </c>
      <c r="L82" s="107">
        <f>IF(J82=0,"",IF(INDEX(Base,MATCH(E82,Comptes,0))="HT","1176",IF(INDEX(Base,MATCH(F82,Comptes,0))="HT","2200","ERREUR")))</f>
        <v/>
      </c>
    </row>
    <row r="83">
      <c r="A83" s="105" t="n">
        <v>45863</v>
      </c>
      <c r="B83" s="106" t="inlineStr">
        <is>
          <t>2025-082</t>
        </is>
      </c>
      <c r="C83" s="106" t="inlineStr">
        <is>
          <t>Charges sociales patronales du mois (décompte)</t>
        </is>
      </c>
      <c r="D83" s="106" t="inlineStr">
        <is>
          <t>Salaire</t>
        </is>
      </c>
      <c r="E83" s="107" t="inlineStr">
        <is>
          <t>5700</t>
        </is>
      </c>
      <c r="F83" s="107" t="inlineStr">
        <is>
          <t>2270</t>
        </is>
      </c>
      <c r="G83" s="108" t="n">
        <v>962.42</v>
      </c>
      <c r="H83" s="107" t="inlineStr">
        <is>
          <t>E</t>
        </is>
      </c>
      <c r="I83" s="109">
        <f>IFERROR(INDEX(TVA_taux,MATCH(H83,TVA_codes,0)),0)</f>
        <v>0</v>
      </c>
      <c r="J83" s="108">
        <f>ROUND(G83*I83,2)</f>
        <v>0</v>
      </c>
      <c r="K83" s="108">
        <f>G83+J83</f>
        <v>962.42</v>
      </c>
      <c r="L83" s="107">
        <f>IF(J83=0,"",IF(INDEX(Base,MATCH(E83,Comptes,0))="HT","1176",IF(INDEX(Base,MATCH(F83,Comptes,0))="HT","2200","ERREUR")))</f>
        <v/>
      </c>
    </row>
    <row r="84">
      <c r="A84" s="105" t="n">
        <v>45865</v>
      </c>
      <c r="B84" s="106" t="inlineStr">
        <is>
          <t>2025-083</t>
        </is>
      </c>
      <c r="C84" s="106" t="inlineStr">
        <is>
          <t>Paiement fournisseurs</t>
        </is>
      </c>
      <c r="D84" s="106" t="inlineStr">
        <is>
          <t>Règlement</t>
        </is>
      </c>
      <c r="E84" s="107" t="inlineStr">
        <is>
          <t>2000</t>
        </is>
      </c>
      <c r="F84" s="107" t="inlineStr">
        <is>
          <t>1020</t>
        </is>
      </c>
      <c r="G84" s="108" t="n">
        <v>2114.4</v>
      </c>
      <c r="H84" s="107" t="inlineStr">
        <is>
          <t>E</t>
        </is>
      </c>
      <c r="I84" s="109">
        <f>IFERROR(INDEX(TVA_taux,MATCH(H84,TVA_codes,0)),0)</f>
        <v>0</v>
      </c>
      <c r="J84" s="108">
        <f>ROUND(G84*I84,2)</f>
        <v>0</v>
      </c>
      <c r="K84" s="108">
        <f>G84+J84</f>
        <v>2114.4</v>
      </c>
      <c r="L84" s="107">
        <f>IF(J84=0,"",IF(INDEX(Base,MATCH(E84,Comptes,0))="HT","1176",IF(INDEX(Base,MATCH(F84,Comptes,0))="HT","2200","ERREUR")))</f>
        <v/>
      </c>
    </row>
    <row r="85">
      <c r="A85" s="105" t="n">
        <v>45866</v>
      </c>
      <c r="B85" s="106" t="inlineStr">
        <is>
          <t>2025-084</t>
        </is>
      </c>
      <c r="C85" s="106" t="inlineStr">
        <is>
          <t>Encaissement clients</t>
        </is>
      </c>
      <c r="D85" s="106" t="inlineStr">
        <is>
          <t>Règlement</t>
        </is>
      </c>
      <c r="E85" s="107" t="inlineStr">
        <is>
          <t>1020</t>
        </is>
      </c>
      <c r="F85" s="107" t="inlineStr">
        <is>
          <t>1100</t>
        </is>
      </c>
      <c r="G85" s="108" t="n">
        <v>10985.8</v>
      </c>
      <c r="H85" s="107" t="inlineStr">
        <is>
          <t>E</t>
        </is>
      </c>
      <c r="I85" s="109">
        <f>IFERROR(INDEX(TVA_taux,MATCH(H85,TVA_codes,0)),0)</f>
        <v>0</v>
      </c>
      <c r="J85" s="108">
        <f>ROUND(G85*I85,2)</f>
        <v>0</v>
      </c>
      <c r="K85" s="108">
        <f>G85+J85</f>
        <v>10985.8</v>
      </c>
      <c r="L85" s="107">
        <f>IF(J85=0,"",IF(INDEX(Base,MATCH(E85,Comptes,0))="HT","1176",IF(INDEX(Base,MATCH(F85,Comptes,0))="HT","2200","ERREUR")))</f>
        <v/>
      </c>
    </row>
    <row r="86">
      <c r="A86" s="105" t="n">
        <v>45869</v>
      </c>
      <c r="B86" s="106" t="inlineStr">
        <is>
          <t>2025-085</t>
        </is>
      </c>
      <c r="C86" s="106" t="inlineStr">
        <is>
          <t>Décompte AVS/AC/AF/LPP T2 — versement caisse de compensation et fondation</t>
        </is>
      </c>
      <c r="D86" s="106" t="inlineStr">
        <is>
          <t>Décompte social</t>
        </is>
      </c>
      <c r="E86" s="107" t="inlineStr">
        <is>
          <t>2270</t>
        </is>
      </c>
      <c r="F86" s="107" t="inlineStr">
        <is>
          <t>1020</t>
        </is>
      </c>
      <c r="G86" s="108" t="n">
        <v>5212.05</v>
      </c>
      <c r="H86" s="107" t="inlineStr">
        <is>
          <t>E</t>
        </is>
      </c>
      <c r="I86" s="109">
        <f>IFERROR(INDEX(TVA_taux,MATCH(H86,TVA_codes,0)),0)</f>
        <v>0</v>
      </c>
      <c r="J86" s="108">
        <f>ROUND(G86*I86,2)</f>
        <v>0</v>
      </c>
      <c r="K86" s="108">
        <f>G86+J86</f>
        <v>5212.05</v>
      </c>
      <c r="L86" s="107">
        <f>IF(J86=0,"",IF(INDEX(Base,MATCH(E86,Comptes,0))="HT","1176",IF(INDEX(Base,MATCH(F86,Comptes,0))="HT","2200","ERREUR")))</f>
        <v/>
      </c>
    </row>
    <row r="87">
      <c r="A87" s="105" t="n">
        <v>45874</v>
      </c>
      <c r="B87" s="106" t="inlineStr">
        <is>
          <t>2025-086</t>
        </is>
      </c>
      <c r="C87" s="106" t="inlineStr">
        <is>
          <t>Prestations d'atelier</t>
        </is>
      </c>
      <c r="D87" s="106" t="inlineStr">
        <is>
          <t>Vente</t>
        </is>
      </c>
      <c r="E87" s="107" t="inlineStr">
        <is>
          <t>1100</t>
        </is>
      </c>
      <c r="F87" s="107" t="inlineStr">
        <is>
          <t>3000</t>
        </is>
      </c>
      <c r="G87" s="108" t="n">
        <v>7400</v>
      </c>
      <c r="H87" s="107" t="inlineStr">
        <is>
          <t>N</t>
        </is>
      </c>
      <c r="I87" s="109">
        <f>IFERROR(INDEX(TVA_taux,MATCH(H87,TVA_codes,0)),0)</f>
        <v>0.081</v>
      </c>
      <c r="J87" s="108">
        <f>ROUND(G87*I87,2)</f>
        <v>599.4</v>
      </c>
      <c r="K87" s="108">
        <f>G87+J87</f>
        <v>7999.4</v>
      </c>
      <c r="L87" s="107" t="str">
        <f>IF(J87=0,"",IF(INDEX(Base,MATCH(E87,Comptes,0))="HT","1176",IF(INDEX(Base,MATCH(F87,Comptes,0))="HT","2200","ERREUR")))</f>
        <v>2200</v>
      </c>
    </row>
    <row r="88">
      <c r="A88" s="105" t="n">
        <v>45874</v>
      </c>
      <c r="B88" s="106" t="inlineStr">
        <is>
          <t>2025-087</t>
        </is>
      </c>
      <c r="C88" s="106" t="inlineStr">
        <is>
          <t>Achats matières &amp; marchandises</t>
        </is>
      </c>
      <c r="D88" s="106" t="inlineStr">
        <is>
          <t>Achat</t>
        </is>
      </c>
      <c r="E88" s="107" t="inlineStr">
        <is>
          <t>4000</t>
        </is>
      </c>
      <c r="F88" s="107" t="inlineStr">
        <is>
          <t>2000</t>
        </is>
      </c>
      <c r="G88" s="108" t="n">
        <v>2100</v>
      </c>
      <c r="H88" s="107" t="inlineStr">
        <is>
          <t>N</t>
        </is>
      </c>
      <c r="I88" s="109">
        <f>IFERROR(INDEX(TVA_taux,MATCH(H88,TVA_codes,0)),0)</f>
        <v>0.081</v>
      </c>
      <c r="J88" s="108">
        <f>ROUND(G88*I88,2)</f>
        <v>170.1</v>
      </c>
      <c r="K88" s="108">
        <f>G88+J88</f>
        <v>2270.1</v>
      </c>
      <c r="L88" s="107" t="str">
        <f>IF(J88=0,"",IF(INDEX(Base,MATCH(E88,Comptes,0))="HT","1176",IF(INDEX(Base,MATCH(F88,Comptes,0))="HT","2200","ERREUR")))</f>
        <v>1176</v>
      </c>
    </row>
    <row r="89">
      <c r="A89" s="105" t="n">
        <v>45884</v>
      </c>
      <c r="B89" s="106" t="inlineStr">
        <is>
          <t>2025-088</t>
        </is>
      </c>
      <c r="C89" s="106" t="inlineStr">
        <is>
          <t>Ventes de mobilier</t>
        </is>
      </c>
      <c r="D89" s="106" t="inlineStr">
        <is>
          <t>Vente</t>
        </is>
      </c>
      <c r="E89" s="107" t="inlineStr">
        <is>
          <t>1100</t>
        </is>
      </c>
      <c r="F89" s="107" t="inlineStr">
        <is>
          <t>3200</t>
        </is>
      </c>
      <c r="G89" s="108" t="n">
        <v>2800</v>
      </c>
      <c r="H89" s="107" t="inlineStr">
        <is>
          <t>N</t>
        </is>
      </c>
      <c r="I89" s="109">
        <f>IFERROR(INDEX(TVA_taux,MATCH(H89,TVA_codes,0)),0)</f>
        <v>0.081</v>
      </c>
      <c r="J89" s="108">
        <f>ROUND(G89*I89,2)</f>
        <v>226.8</v>
      </c>
      <c r="K89" s="108">
        <f>G89+J89</f>
        <v>3026.8</v>
      </c>
      <c r="L89" s="107" t="str">
        <f>IF(J89=0,"",IF(INDEX(Base,MATCH(E89,Comptes,0))="HT","1176",IF(INDEX(Base,MATCH(F89,Comptes,0))="HT","2200","ERREUR")))</f>
        <v>2200</v>
      </c>
    </row>
    <row r="90">
      <c r="A90" s="105" t="n">
        <v>45884</v>
      </c>
      <c r="B90" s="106" t="inlineStr">
        <is>
          <t>2025-089</t>
        </is>
      </c>
      <c r="C90" s="106" t="inlineStr">
        <is>
          <t>Fournitures &amp; administration</t>
        </is>
      </c>
      <c r="D90" s="106" t="inlineStr">
        <is>
          <t>Charge</t>
        </is>
      </c>
      <c r="E90" s="107" t="inlineStr">
        <is>
          <t>6500</t>
        </is>
      </c>
      <c r="F90" s="107" t="inlineStr">
        <is>
          <t>1020</t>
        </is>
      </c>
      <c r="G90" s="108" t="n">
        <v>180</v>
      </c>
      <c r="H90" s="107" t="inlineStr">
        <is>
          <t>N</t>
        </is>
      </c>
      <c r="I90" s="109">
        <f>IFERROR(INDEX(TVA_taux,MATCH(H90,TVA_codes,0)),0)</f>
        <v>0.081</v>
      </c>
      <c r="J90" s="108">
        <f>ROUND(G90*I90,2)</f>
        <v>14.58</v>
      </c>
      <c r="K90" s="108">
        <f>G90+J90</f>
        <v>194.58</v>
      </c>
      <c r="L90" s="107" t="str">
        <f>IF(J90=0,"",IF(INDEX(Base,MATCH(E90,Comptes,0))="HT","1176",IF(INDEX(Base,MATCH(F90,Comptes,0))="HT","2200","ERREUR")))</f>
        <v>1176</v>
      </c>
    </row>
    <row r="91">
      <c r="A91" s="105" t="n">
        <v>45894</v>
      </c>
      <c r="B91" s="106" t="inlineStr">
        <is>
          <t>2025-090</t>
        </is>
      </c>
      <c r="C91" s="106" t="inlineStr">
        <is>
          <t>Loyer atelier</t>
        </is>
      </c>
      <c r="D91" s="106" t="inlineStr">
        <is>
          <t>Charge</t>
        </is>
      </c>
      <c r="E91" s="107" t="inlineStr">
        <is>
          <t>6000</t>
        </is>
      </c>
      <c r="F91" s="107" t="inlineStr">
        <is>
          <t>1020</t>
        </is>
      </c>
      <c r="G91" s="108" t="n">
        <v>1800</v>
      </c>
      <c r="H91" s="107" t="inlineStr">
        <is>
          <t>E</t>
        </is>
      </c>
      <c r="I91" s="109">
        <f>IFERROR(INDEX(TVA_taux,MATCH(H91,TVA_codes,0)),0)</f>
        <v>0</v>
      </c>
      <c r="J91" s="108">
        <f>ROUND(G91*I91,2)</f>
        <v>0</v>
      </c>
      <c r="K91" s="108">
        <f>G91+J91</f>
        <v>1800</v>
      </c>
      <c r="L91" s="107">
        <f>IF(J91=0,"",IF(INDEX(Base,MATCH(E91,Comptes,0))="HT","1176",IF(INDEX(Base,MATCH(F91,Comptes,0))="HT","2200","ERREUR")))</f>
        <v/>
      </c>
    </row>
    <row r="92">
      <c r="A92" s="105" t="n">
        <v>45894</v>
      </c>
      <c r="B92" s="106" t="inlineStr">
        <is>
          <t>2025-091</t>
        </is>
      </c>
      <c r="C92" s="106" t="inlineStr">
        <is>
          <t>Salaires bruts du mois (décompte)</t>
        </is>
      </c>
      <c r="D92" s="106" t="inlineStr">
        <is>
          <t>Salaire</t>
        </is>
      </c>
      <c r="E92" s="107" t="inlineStr">
        <is>
          <t>5000</t>
        </is>
      </c>
      <c r="F92" s="107" t="inlineStr">
        <is>
          <t>2270</t>
        </is>
      </c>
      <c r="G92" s="108" t="n">
        <v>8500</v>
      </c>
      <c r="H92" s="107" t="inlineStr">
        <is>
          <t>E</t>
        </is>
      </c>
      <c r="I92" s="109">
        <f>IFERROR(INDEX(TVA_taux,MATCH(H92,TVA_codes,0)),0)</f>
        <v>0</v>
      </c>
      <c r="J92" s="108">
        <f>ROUND(G92*I92,2)</f>
        <v>0</v>
      </c>
      <c r="K92" s="108">
        <f>G92+J92</f>
        <v>8500</v>
      </c>
      <c r="L92" s="107">
        <f>IF(J92=0,"",IF(INDEX(Base,MATCH(E92,Comptes,0))="HT","1176",IF(INDEX(Base,MATCH(F92,Comptes,0))="HT","2200","ERREUR")))</f>
        <v/>
      </c>
    </row>
    <row r="93">
      <c r="A93" s="105" t="n">
        <v>45894</v>
      </c>
      <c r="B93" s="106" t="inlineStr">
        <is>
          <t>2025-092</t>
        </is>
      </c>
      <c r="C93" s="106" t="inlineStr">
        <is>
          <t>Salaires nets versés</t>
        </is>
      </c>
      <c r="D93" s="106" t="inlineStr">
        <is>
          <t>Salaire</t>
        </is>
      </c>
      <c r="E93" s="107" t="inlineStr">
        <is>
          <t>2270</t>
        </is>
      </c>
      <c r="F93" s="107" t="inlineStr">
        <is>
          <t>1020</t>
        </is>
      </c>
      <c r="G93" s="108" t="n">
        <v>7725.07</v>
      </c>
      <c r="H93" s="107" t="inlineStr">
        <is>
          <t>E</t>
        </is>
      </c>
      <c r="I93" s="109">
        <f>IFERROR(INDEX(TVA_taux,MATCH(H93,TVA_codes,0)),0)</f>
        <v>0</v>
      </c>
      <c r="J93" s="108">
        <f>ROUND(G93*I93,2)</f>
        <v>0</v>
      </c>
      <c r="K93" s="108">
        <f>G93+J93</f>
        <v>7725.07</v>
      </c>
      <c r="L93" s="107">
        <f>IF(J93=0,"",IF(INDEX(Base,MATCH(E93,Comptes,0))="HT","1176",IF(INDEX(Base,MATCH(F93,Comptes,0))="HT","2200","ERREUR")))</f>
        <v/>
      </c>
    </row>
    <row r="94">
      <c r="A94" s="105" t="n">
        <v>45894</v>
      </c>
      <c r="B94" s="106" t="inlineStr">
        <is>
          <t>2025-093</t>
        </is>
      </c>
      <c r="C94" s="106" t="inlineStr">
        <is>
          <t>Charges sociales patronales du mois (décompte)</t>
        </is>
      </c>
      <c r="D94" s="106" t="inlineStr">
        <is>
          <t>Salaire</t>
        </is>
      </c>
      <c r="E94" s="107" t="inlineStr">
        <is>
          <t>5700</t>
        </is>
      </c>
      <c r="F94" s="107" t="inlineStr">
        <is>
          <t>2270</t>
        </is>
      </c>
      <c r="G94" s="108" t="n">
        <v>962.42</v>
      </c>
      <c r="H94" s="107" t="inlineStr">
        <is>
          <t>E</t>
        </is>
      </c>
      <c r="I94" s="109">
        <f>IFERROR(INDEX(TVA_taux,MATCH(H94,TVA_codes,0)),0)</f>
        <v>0</v>
      </c>
      <c r="J94" s="108">
        <f>ROUND(G94*I94,2)</f>
        <v>0</v>
      </c>
      <c r="K94" s="108">
        <f>G94+J94</f>
        <v>962.42</v>
      </c>
      <c r="L94" s="107">
        <f>IF(J94=0,"",IF(INDEX(Base,MATCH(E94,Comptes,0))="HT","1176",IF(INDEX(Base,MATCH(F94,Comptes,0))="HT","2200","ERREUR")))</f>
        <v/>
      </c>
    </row>
    <row r="95">
      <c r="A95" s="105" t="n">
        <v>45896</v>
      </c>
      <c r="B95" s="106" t="inlineStr">
        <is>
          <t>2025-094</t>
        </is>
      </c>
      <c r="C95" s="106" t="inlineStr">
        <is>
          <t>Paiement fournisseurs</t>
        </is>
      </c>
      <c r="D95" s="106" t="inlineStr">
        <is>
          <t>Règlement</t>
        </is>
      </c>
      <c r="E95" s="107" t="inlineStr">
        <is>
          <t>2000</t>
        </is>
      </c>
      <c r="F95" s="107" t="inlineStr">
        <is>
          <t>1020</t>
        </is>
      </c>
      <c r="G95" s="108" t="n">
        <v>1850.1</v>
      </c>
      <c r="H95" s="107" t="inlineStr">
        <is>
          <t>E</t>
        </is>
      </c>
      <c r="I95" s="109">
        <f>IFERROR(INDEX(TVA_taux,MATCH(H95,TVA_codes,0)),0)</f>
        <v>0</v>
      </c>
      <c r="J95" s="108">
        <f>ROUND(G95*I95,2)</f>
        <v>0</v>
      </c>
      <c r="K95" s="108">
        <f>G95+J95</f>
        <v>1850.1</v>
      </c>
      <c r="L95" s="107">
        <f>IF(J95=0,"",IF(INDEX(Base,MATCH(E95,Comptes,0))="HT","1176",IF(INDEX(Base,MATCH(F95,Comptes,0))="HT","2200","ERREUR")))</f>
        <v/>
      </c>
    </row>
    <row r="96">
      <c r="A96" s="105" t="n">
        <v>45897</v>
      </c>
      <c r="B96" s="106" t="inlineStr">
        <is>
          <t>2025-095</t>
        </is>
      </c>
      <c r="C96" s="106" t="inlineStr">
        <is>
          <t>Encaissement clients</t>
        </is>
      </c>
      <c r="D96" s="106" t="inlineStr">
        <is>
          <t>Règlement</t>
        </is>
      </c>
      <c r="E96" s="107" t="inlineStr">
        <is>
          <t>1020</t>
        </is>
      </c>
      <c r="F96" s="107" t="inlineStr">
        <is>
          <t>1100</t>
        </is>
      </c>
      <c r="G96" s="108" t="n">
        <v>9496.200000000001</v>
      </c>
      <c r="H96" s="107" t="inlineStr">
        <is>
          <t>E</t>
        </is>
      </c>
      <c r="I96" s="109">
        <f>IFERROR(INDEX(TVA_taux,MATCH(H96,TVA_codes,0)),0)</f>
        <v>0</v>
      </c>
      <c r="J96" s="108">
        <f>ROUND(G96*I96,2)</f>
        <v>0</v>
      </c>
      <c r="K96" s="108">
        <f>G96+J96</f>
        <v>9496.2</v>
      </c>
      <c r="L96" s="107">
        <f>IF(J96=0,"",IF(INDEX(Base,MATCH(E96,Comptes,0))="HT","1176",IF(INDEX(Base,MATCH(F96,Comptes,0))="HT","2200","ERREUR")))</f>
        <v/>
      </c>
    </row>
    <row r="97">
      <c r="A97" s="105" t="n">
        <v>45900</v>
      </c>
      <c r="B97" s="106" t="inlineStr">
        <is>
          <t>2025-096</t>
        </is>
      </c>
      <c r="C97" s="106" t="inlineStr">
        <is>
          <t>Décompte TVA T2 — compensation impôt préalable</t>
        </is>
      </c>
      <c r="D97" s="106" t="inlineStr">
        <is>
          <t>TVA</t>
        </is>
      </c>
      <c r="E97" s="107" t="inlineStr">
        <is>
          <t>2200</t>
        </is>
      </c>
      <c r="F97" s="107" t="inlineStr">
        <is>
          <t>1176</t>
        </is>
      </c>
      <c r="G97" s="108" t="n">
        <v>1116.99</v>
      </c>
      <c r="H97" s="107" t="inlineStr">
        <is>
          <t>E</t>
        </is>
      </c>
      <c r="I97" s="109">
        <f>IFERROR(INDEX(TVA_taux,MATCH(H97,TVA_codes,0)),0)</f>
        <v>0</v>
      </c>
      <c r="J97" s="108">
        <f>ROUND(G97*I97,2)</f>
        <v>0</v>
      </c>
      <c r="K97" s="108">
        <f>G97+J97</f>
        <v>1116.99</v>
      </c>
      <c r="L97" s="107">
        <f>IF(J97=0,"",IF(INDEX(Base,MATCH(E97,Comptes,0))="HT","1176",IF(INDEX(Base,MATCH(F97,Comptes,0))="HT","2200","ERREUR")))</f>
        <v/>
      </c>
    </row>
    <row r="98">
      <c r="A98" s="105" t="n">
        <v>45900</v>
      </c>
      <c r="B98" s="106" t="inlineStr">
        <is>
          <t>2025-097</t>
        </is>
      </c>
      <c r="C98" s="106" t="inlineStr">
        <is>
          <t>Décompte TVA T2 — paiement à l'AFC</t>
        </is>
      </c>
      <c r="D98" s="106" t="inlineStr">
        <is>
          <t>TVA</t>
        </is>
      </c>
      <c r="E98" s="107" t="inlineStr">
        <is>
          <t>2200</t>
        </is>
      </c>
      <c r="F98" s="107" t="inlineStr">
        <is>
          <t>1020</t>
        </is>
      </c>
      <c r="G98" s="108" t="n">
        <v>3475.71</v>
      </c>
      <c r="H98" s="107" t="inlineStr">
        <is>
          <t>E</t>
        </is>
      </c>
      <c r="I98" s="109">
        <f>IFERROR(INDEX(TVA_taux,MATCH(H98,TVA_codes,0)),0)</f>
        <v>0</v>
      </c>
      <c r="J98" s="108">
        <f>ROUND(G98*I98,2)</f>
        <v>0</v>
      </c>
      <c r="K98" s="108">
        <f>G98+J98</f>
        <v>3475.71</v>
      </c>
      <c r="L98" s="107">
        <f>IF(J98=0,"",IF(INDEX(Base,MATCH(E98,Comptes,0))="HT","1176",IF(INDEX(Base,MATCH(F98,Comptes,0))="HT","2200","ERREUR")))</f>
        <v/>
      </c>
    </row>
    <row r="99">
      <c r="A99" s="105" t="n">
        <v>45905</v>
      </c>
      <c r="B99" s="106" t="inlineStr">
        <is>
          <t>2025-098</t>
        </is>
      </c>
      <c r="C99" s="106" t="inlineStr">
        <is>
          <t>Prestations d'atelier</t>
        </is>
      </c>
      <c r="D99" s="106" t="inlineStr">
        <is>
          <t>Vente</t>
        </is>
      </c>
      <c r="E99" s="107" t="inlineStr">
        <is>
          <t>1100</t>
        </is>
      </c>
      <c r="F99" s="107" t="inlineStr">
        <is>
          <t>3000</t>
        </is>
      </c>
      <c r="G99" s="108" t="n">
        <v>15100</v>
      </c>
      <c r="H99" s="107" t="inlineStr">
        <is>
          <t>N</t>
        </is>
      </c>
      <c r="I99" s="109">
        <f>IFERROR(INDEX(TVA_taux,MATCH(H99,TVA_codes,0)),0)</f>
        <v>0.081</v>
      </c>
      <c r="J99" s="108">
        <f>ROUND(G99*I99,2)</f>
        <v>1223.1</v>
      </c>
      <c r="K99" s="108">
        <f>G99+J99</f>
        <v>16323.1</v>
      </c>
      <c r="L99" s="107" t="str">
        <f>IF(J99=0,"",IF(INDEX(Base,MATCH(E99,Comptes,0))="HT","1176",IF(INDEX(Base,MATCH(F99,Comptes,0))="HT","2200","ERREUR")))</f>
        <v>2200</v>
      </c>
    </row>
    <row r="100">
      <c r="A100" s="105" t="n">
        <v>45905</v>
      </c>
      <c r="B100" s="106" t="inlineStr">
        <is>
          <t>2025-099</t>
        </is>
      </c>
      <c r="C100" s="106" t="inlineStr">
        <is>
          <t>Achats matières &amp; marchandises</t>
        </is>
      </c>
      <c r="D100" s="106" t="inlineStr">
        <is>
          <t>Achat</t>
        </is>
      </c>
      <c r="E100" s="107" t="inlineStr">
        <is>
          <t>4000</t>
        </is>
      </c>
      <c r="F100" s="107" t="inlineStr">
        <is>
          <t>2000</t>
        </is>
      </c>
      <c r="G100" s="108" t="n">
        <v>4100</v>
      </c>
      <c r="H100" s="107" t="inlineStr">
        <is>
          <t>N</t>
        </is>
      </c>
      <c r="I100" s="109">
        <f>IFERROR(INDEX(TVA_taux,MATCH(H100,TVA_codes,0)),0)</f>
        <v>0.081</v>
      </c>
      <c r="J100" s="108">
        <f>ROUND(G100*I100,2)</f>
        <v>332.1</v>
      </c>
      <c r="K100" s="108">
        <f>G100+J100</f>
        <v>4432.1</v>
      </c>
      <c r="L100" s="107" t="str">
        <f>IF(J100=0,"",IF(INDEX(Base,MATCH(E100,Comptes,0))="HT","1176",IF(INDEX(Base,MATCH(F100,Comptes,0))="HT","2200","ERREUR")))</f>
        <v>1176</v>
      </c>
    </row>
    <row r="101">
      <c r="A101" s="105" t="n">
        <v>45915</v>
      </c>
      <c r="B101" s="106" t="inlineStr">
        <is>
          <t>2025-100</t>
        </is>
      </c>
      <c r="C101" s="106" t="inlineStr">
        <is>
          <t>Ventes de mobilier</t>
        </is>
      </c>
      <c r="D101" s="106" t="inlineStr">
        <is>
          <t>Vente</t>
        </is>
      </c>
      <c r="E101" s="107" t="inlineStr">
        <is>
          <t>1100</t>
        </is>
      </c>
      <c r="F101" s="107" t="inlineStr">
        <is>
          <t>3200</t>
        </is>
      </c>
      <c r="G101" s="108" t="n">
        <v>5700</v>
      </c>
      <c r="H101" s="107" t="inlineStr">
        <is>
          <t>N</t>
        </is>
      </c>
      <c r="I101" s="109">
        <f>IFERROR(INDEX(TVA_taux,MATCH(H101,TVA_codes,0)),0)</f>
        <v>0.081</v>
      </c>
      <c r="J101" s="108">
        <f>ROUND(G101*I101,2)</f>
        <v>461.7</v>
      </c>
      <c r="K101" s="108">
        <f>G101+J101</f>
        <v>6161.7</v>
      </c>
      <c r="L101" s="107" t="str">
        <f>IF(J101=0,"",IF(INDEX(Base,MATCH(E101,Comptes,0))="HT","1176",IF(INDEX(Base,MATCH(F101,Comptes,0))="HT","2200","ERREUR")))</f>
        <v>2200</v>
      </c>
    </row>
    <row r="102">
      <c r="A102" s="105" t="n">
        <v>45915</v>
      </c>
      <c r="B102" s="106" t="inlineStr">
        <is>
          <t>2025-101</t>
        </is>
      </c>
      <c r="C102" s="106" t="inlineStr">
        <is>
          <t>Fournitures &amp; administration</t>
        </is>
      </c>
      <c r="D102" s="106" t="inlineStr">
        <is>
          <t>Charge</t>
        </is>
      </c>
      <c r="E102" s="107" t="inlineStr">
        <is>
          <t>6500</t>
        </is>
      </c>
      <c r="F102" s="107" t="inlineStr">
        <is>
          <t>1020</t>
        </is>
      </c>
      <c r="G102" s="108" t="n">
        <v>280</v>
      </c>
      <c r="H102" s="107" t="inlineStr">
        <is>
          <t>N</t>
        </is>
      </c>
      <c r="I102" s="109">
        <f>IFERROR(INDEX(TVA_taux,MATCH(H102,TVA_codes,0)),0)</f>
        <v>0.081</v>
      </c>
      <c r="J102" s="108">
        <f>ROUND(G102*I102,2)</f>
        <v>22.68</v>
      </c>
      <c r="K102" s="108">
        <f>G102+J102</f>
        <v>302.68</v>
      </c>
      <c r="L102" s="107" t="str">
        <f>IF(J102=0,"",IF(INDEX(Base,MATCH(E102,Comptes,0))="HT","1176",IF(INDEX(Base,MATCH(F102,Comptes,0))="HT","2200","ERREUR")))</f>
        <v>1176</v>
      </c>
    </row>
    <row r="103">
      <c r="A103" s="105" t="n">
        <v>45915</v>
      </c>
      <c r="B103" s="106" t="inlineStr">
        <is>
          <t>2025-102</t>
        </is>
      </c>
      <c r="C103" s="106" t="inlineStr">
        <is>
          <t>Publicité &amp; marketing</t>
        </is>
      </c>
      <c r="D103" s="106" t="inlineStr">
        <is>
          <t>Charge</t>
        </is>
      </c>
      <c r="E103" s="107" t="inlineStr">
        <is>
          <t>6600</t>
        </is>
      </c>
      <c r="F103" s="107" t="inlineStr">
        <is>
          <t>1020</t>
        </is>
      </c>
      <c r="G103" s="108" t="n">
        <v>1500</v>
      </c>
      <c r="H103" s="107" t="inlineStr">
        <is>
          <t>N</t>
        </is>
      </c>
      <c r="I103" s="109">
        <f>IFERROR(INDEX(TVA_taux,MATCH(H103,TVA_codes,0)),0)</f>
        <v>0.081</v>
      </c>
      <c r="J103" s="108">
        <f>ROUND(G103*I103,2)</f>
        <v>121.5</v>
      </c>
      <c r="K103" s="108">
        <f>G103+J103</f>
        <v>1621.5</v>
      </c>
      <c r="L103" s="107" t="str">
        <f>IF(J103=0,"",IF(INDEX(Base,MATCH(E103,Comptes,0))="HT","1176",IF(INDEX(Base,MATCH(F103,Comptes,0))="HT","2200","ERREUR")))</f>
        <v>1176</v>
      </c>
    </row>
    <row r="104">
      <c r="A104" s="105" t="n">
        <v>45925</v>
      </c>
      <c r="B104" s="106" t="inlineStr">
        <is>
          <t>2025-103</t>
        </is>
      </c>
      <c r="C104" s="106" t="inlineStr">
        <is>
          <t>Loyer atelier</t>
        </is>
      </c>
      <c r="D104" s="106" t="inlineStr">
        <is>
          <t>Charge</t>
        </is>
      </c>
      <c r="E104" s="107" t="inlineStr">
        <is>
          <t>6000</t>
        </is>
      </c>
      <c r="F104" s="107" t="inlineStr">
        <is>
          <t>1020</t>
        </is>
      </c>
      <c r="G104" s="108" t="n">
        <v>1800</v>
      </c>
      <c r="H104" s="107" t="inlineStr">
        <is>
          <t>E</t>
        </is>
      </c>
      <c r="I104" s="109">
        <f>IFERROR(INDEX(TVA_taux,MATCH(H104,TVA_codes,0)),0)</f>
        <v>0</v>
      </c>
      <c r="J104" s="108">
        <f>ROUND(G104*I104,2)</f>
        <v>0</v>
      </c>
      <c r="K104" s="108">
        <f>G104+J104</f>
        <v>1800</v>
      </c>
      <c r="L104" s="107">
        <f>IF(J104=0,"",IF(INDEX(Base,MATCH(E104,Comptes,0))="HT","1176",IF(INDEX(Base,MATCH(F104,Comptes,0))="HT","2200","ERREUR")))</f>
        <v/>
      </c>
    </row>
    <row r="105">
      <c r="A105" s="105" t="n">
        <v>45925</v>
      </c>
      <c r="B105" s="106" t="inlineStr">
        <is>
          <t>2025-104</t>
        </is>
      </c>
      <c r="C105" s="106" t="inlineStr">
        <is>
          <t>Salaires bruts du mois (décompte)</t>
        </is>
      </c>
      <c r="D105" s="106" t="inlineStr">
        <is>
          <t>Salaire</t>
        </is>
      </c>
      <c r="E105" s="107" t="inlineStr">
        <is>
          <t>5000</t>
        </is>
      </c>
      <c r="F105" s="107" t="inlineStr">
        <is>
          <t>2270</t>
        </is>
      </c>
      <c r="G105" s="108" t="n">
        <v>8500</v>
      </c>
      <c r="H105" s="107" t="inlineStr">
        <is>
          <t>E</t>
        </is>
      </c>
      <c r="I105" s="109">
        <f>IFERROR(INDEX(TVA_taux,MATCH(H105,TVA_codes,0)),0)</f>
        <v>0</v>
      </c>
      <c r="J105" s="108">
        <f>ROUND(G105*I105,2)</f>
        <v>0</v>
      </c>
      <c r="K105" s="108">
        <f>G105+J105</f>
        <v>8500</v>
      </c>
      <c r="L105" s="107">
        <f>IF(J105=0,"",IF(INDEX(Base,MATCH(E105,Comptes,0))="HT","1176",IF(INDEX(Base,MATCH(F105,Comptes,0))="HT","2200","ERREUR")))</f>
        <v/>
      </c>
    </row>
    <row r="106">
      <c r="A106" s="105" t="n">
        <v>45925</v>
      </c>
      <c r="B106" s="106" t="inlineStr">
        <is>
          <t>2025-105</t>
        </is>
      </c>
      <c r="C106" s="106" t="inlineStr">
        <is>
          <t>Salaires nets versés</t>
        </is>
      </c>
      <c r="D106" s="106" t="inlineStr">
        <is>
          <t>Salaire</t>
        </is>
      </c>
      <c r="E106" s="107" t="inlineStr">
        <is>
          <t>2270</t>
        </is>
      </c>
      <c r="F106" s="107" t="inlineStr">
        <is>
          <t>1020</t>
        </is>
      </c>
      <c r="G106" s="108" t="n">
        <v>7725.07</v>
      </c>
      <c r="H106" s="107" t="inlineStr">
        <is>
          <t>E</t>
        </is>
      </c>
      <c r="I106" s="109">
        <f>IFERROR(INDEX(TVA_taux,MATCH(H106,TVA_codes,0)),0)</f>
        <v>0</v>
      </c>
      <c r="J106" s="108">
        <f>ROUND(G106*I106,2)</f>
        <v>0</v>
      </c>
      <c r="K106" s="108">
        <f>G106+J106</f>
        <v>7725.07</v>
      </c>
      <c r="L106" s="107">
        <f>IF(J106=0,"",IF(INDEX(Base,MATCH(E106,Comptes,0))="HT","1176",IF(INDEX(Base,MATCH(F106,Comptes,0))="HT","2200","ERREUR")))</f>
        <v/>
      </c>
    </row>
    <row r="107">
      <c r="A107" s="105" t="n">
        <v>45925</v>
      </c>
      <c r="B107" s="106" t="inlineStr">
        <is>
          <t>2025-106</t>
        </is>
      </c>
      <c r="C107" s="106" t="inlineStr">
        <is>
          <t>Charges sociales patronales du mois (décompte)</t>
        </is>
      </c>
      <c r="D107" s="106" t="inlineStr">
        <is>
          <t>Salaire</t>
        </is>
      </c>
      <c r="E107" s="107" t="inlineStr">
        <is>
          <t>5700</t>
        </is>
      </c>
      <c r="F107" s="107" t="inlineStr">
        <is>
          <t>2270</t>
        </is>
      </c>
      <c r="G107" s="108" t="n">
        <v>962.42</v>
      </c>
      <c r="H107" s="107" t="inlineStr">
        <is>
          <t>E</t>
        </is>
      </c>
      <c r="I107" s="109">
        <f>IFERROR(INDEX(TVA_taux,MATCH(H107,TVA_codes,0)),0)</f>
        <v>0</v>
      </c>
      <c r="J107" s="108">
        <f>ROUND(G107*I107,2)</f>
        <v>0</v>
      </c>
      <c r="K107" s="108">
        <f>G107+J107</f>
        <v>962.42</v>
      </c>
      <c r="L107" s="107">
        <f>IF(J107=0,"",IF(INDEX(Base,MATCH(E107,Comptes,0))="HT","1176",IF(INDEX(Base,MATCH(F107,Comptes,0))="HT","2200","ERREUR")))</f>
        <v/>
      </c>
    </row>
    <row r="108">
      <c r="A108" s="105" t="n">
        <v>45927</v>
      </c>
      <c r="B108" s="106" t="inlineStr">
        <is>
          <t>2025-107</t>
        </is>
      </c>
      <c r="C108" s="106" t="inlineStr">
        <is>
          <t>Paiement fournisseurs</t>
        </is>
      </c>
      <c r="D108" s="106" t="inlineStr">
        <is>
          <t>Règlement</t>
        </is>
      </c>
      <c r="E108" s="107" t="inlineStr">
        <is>
          <t>2000</t>
        </is>
      </c>
      <c r="F108" s="107" t="inlineStr">
        <is>
          <t>1020</t>
        </is>
      </c>
      <c r="G108" s="108" t="n">
        <v>3612.1</v>
      </c>
      <c r="H108" s="107" t="inlineStr">
        <is>
          <t>E</t>
        </is>
      </c>
      <c r="I108" s="109">
        <f>IFERROR(INDEX(TVA_taux,MATCH(H108,TVA_codes,0)),0)</f>
        <v>0</v>
      </c>
      <c r="J108" s="108">
        <f>ROUND(G108*I108,2)</f>
        <v>0</v>
      </c>
      <c r="K108" s="108">
        <f>G108+J108</f>
        <v>3612.1</v>
      </c>
      <c r="L108" s="107">
        <f>IF(J108=0,"",IF(INDEX(Base,MATCH(E108,Comptes,0))="HT","1176",IF(INDEX(Base,MATCH(F108,Comptes,0))="HT","2200","ERREUR")))</f>
        <v/>
      </c>
    </row>
    <row r="109">
      <c r="A109" s="105" t="n">
        <v>45928</v>
      </c>
      <c r="B109" s="106" t="inlineStr">
        <is>
          <t>2025-108</t>
        </is>
      </c>
      <c r="C109" s="106" t="inlineStr">
        <is>
          <t>Encaissement clients</t>
        </is>
      </c>
      <c r="D109" s="106" t="inlineStr">
        <is>
          <t>Règlement</t>
        </is>
      </c>
      <c r="E109" s="107" t="inlineStr">
        <is>
          <t>1020</t>
        </is>
      </c>
      <c r="F109" s="107" t="inlineStr">
        <is>
          <t>1100</t>
        </is>
      </c>
      <c r="G109" s="108" t="n">
        <v>19364.8</v>
      </c>
      <c r="H109" s="107" t="inlineStr">
        <is>
          <t>E</t>
        </is>
      </c>
      <c r="I109" s="109">
        <f>IFERROR(INDEX(TVA_taux,MATCH(H109,TVA_codes,0)),0)</f>
        <v>0</v>
      </c>
      <c r="J109" s="108">
        <f>ROUND(G109*I109,2)</f>
        <v>0</v>
      </c>
      <c r="K109" s="108">
        <f>G109+J109</f>
        <v>19364.8</v>
      </c>
      <c r="L109" s="107">
        <f>IF(J109=0,"",IF(INDEX(Base,MATCH(E109,Comptes,0))="HT","1176",IF(INDEX(Base,MATCH(F109,Comptes,0))="HT","2200","ERREUR")))</f>
        <v/>
      </c>
    </row>
    <row r="110">
      <c r="A110" s="105" t="n">
        <v>45935</v>
      </c>
      <c r="B110" s="106" t="inlineStr">
        <is>
          <t>2025-109</t>
        </is>
      </c>
      <c r="C110" s="106" t="inlineStr">
        <is>
          <t>Prestations d'atelier</t>
        </is>
      </c>
      <c r="D110" s="106" t="inlineStr">
        <is>
          <t>Vente</t>
        </is>
      </c>
      <c r="E110" s="107" t="inlineStr">
        <is>
          <t>1100</t>
        </is>
      </c>
      <c r="F110" s="107" t="inlineStr">
        <is>
          <t>3000</t>
        </is>
      </c>
      <c r="G110" s="108" t="n">
        <v>16200</v>
      </c>
      <c r="H110" s="107" t="inlineStr">
        <is>
          <t>N</t>
        </is>
      </c>
      <c r="I110" s="109">
        <f>IFERROR(INDEX(TVA_taux,MATCH(H110,TVA_codes,0)),0)</f>
        <v>0.081</v>
      </c>
      <c r="J110" s="108">
        <f>ROUND(G110*I110,2)</f>
        <v>1312.2</v>
      </c>
      <c r="K110" s="108">
        <f>G110+J110</f>
        <v>17512.2</v>
      </c>
      <c r="L110" s="107" t="str">
        <f>IF(J110=0,"",IF(INDEX(Base,MATCH(E110,Comptes,0))="HT","1176",IF(INDEX(Base,MATCH(F110,Comptes,0))="HT","2200","ERREUR")))</f>
        <v>2200</v>
      </c>
    </row>
    <row r="111">
      <c r="A111" s="105" t="n">
        <v>45935</v>
      </c>
      <c r="B111" s="106" t="inlineStr">
        <is>
          <t>2025-110</t>
        </is>
      </c>
      <c r="C111" s="106" t="inlineStr">
        <is>
          <t>Achats matières &amp; marchandises</t>
        </is>
      </c>
      <c r="D111" s="106" t="inlineStr">
        <is>
          <t>Achat</t>
        </is>
      </c>
      <c r="E111" s="107" t="inlineStr">
        <is>
          <t>4000</t>
        </is>
      </c>
      <c r="F111" s="107" t="inlineStr">
        <is>
          <t>2000</t>
        </is>
      </c>
      <c r="G111" s="108" t="n">
        <v>4600</v>
      </c>
      <c r="H111" s="107" t="inlineStr">
        <is>
          <t>N</t>
        </is>
      </c>
      <c r="I111" s="109">
        <f>IFERROR(INDEX(TVA_taux,MATCH(H111,TVA_codes,0)),0)</f>
        <v>0.081</v>
      </c>
      <c r="J111" s="108">
        <f>ROUND(G111*I111,2)</f>
        <v>372.6</v>
      </c>
      <c r="K111" s="108">
        <f>G111+J111</f>
        <v>4972.6</v>
      </c>
      <c r="L111" s="107" t="str">
        <f>IF(J111=0,"",IF(INDEX(Base,MATCH(E111,Comptes,0))="HT","1176",IF(INDEX(Base,MATCH(F111,Comptes,0))="HT","2200","ERREUR")))</f>
        <v>1176</v>
      </c>
    </row>
    <row r="112">
      <c r="A112" s="105" t="n">
        <v>45945</v>
      </c>
      <c r="B112" s="106" t="inlineStr">
        <is>
          <t>2025-111</t>
        </is>
      </c>
      <c r="C112" s="106" t="inlineStr">
        <is>
          <t>Ventes de mobilier</t>
        </is>
      </c>
      <c r="D112" s="106" t="inlineStr">
        <is>
          <t>Vente</t>
        </is>
      </c>
      <c r="E112" s="107" t="inlineStr">
        <is>
          <t>1100</t>
        </is>
      </c>
      <c r="F112" s="107" t="inlineStr">
        <is>
          <t>3200</t>
        </is>
      </c>
      <c r="G112" s="108" t="n">
        <v>6300</v>
      </c>
      <c r="H112" s="107" t="inlineStr">
        <is>
          <t>N</t>
        </is>
      </c>
      <c r="I112" s="109">
        <f>IFERROR(INDEX(TVA_taux,MATCH(H112,TVA_codes,0)),0)</f>
        <v>0.081</v>
      </c>
      <c r="J112" s="108">
        <f>ROUND(G112*I112,2)</f>
        <v>510.3</v>
      </c>
      <c r="K112" s="108">
        <f>G112+J112</f>
        <v>6810.3</v>
      </c>
      <c r="L112" s="107" t="str">
        <f>IF(J112=0,"",IF(INDEX(Base,MATCH(E112,Comptes,0))="HT","1176",IF(INDEX(Base,MATCH(F112,Comptes,0))="HT","2200","ERREUR")))</f>
        <v>2200</v>
      </c>
    </row>
    <row r="113">
      <c r="A113" s="105" t="n">
        <v>45945</v>
      </c>
      <c r="B113" s="106" t="inlineStr">
        <is>
          <t>2025-112</t>
        </is>
      </c>
      <c r="C113" s="106" t="inlineStr">
        <is>
          <t>Fournitures &amp; administration</t>
        </is>
      </c>
      <c r="D113" s="106" t="inlineStr">
        <is>
          <t>Charge</t>
        </is>
      </c>
      <c r="E113" s="107" t="inlineStr">
        <is>
          <t>6500</t>
        </is>
      </c>
      <c r="F113" s="107" t="inlineStr">
        <is>
          <t>1020</t>
        </is>
      </c>
      <c r="G113" s="108" t="n">
        <v>310</v>
      </c>
      <c r="H113" s="107" t="inlineStr">
        <is>
          <t>N</t>
        </is>
      </c>
      <c r="I113" s="109">
        <f>IFERROR(INDEX(TVA_taux,MATCH(H113,TVA_codes,0)),0)</f>
        <v>0.081</v>
      </c>
      <c r="J113" s="108">
        <f>ROUND(G113*I113,2)</f>
        <v>25.11</v>
      </c>
      <c r="K113" s="108">
        <f>G113+J113</f>
        <v>335.11</v>
      </c>
      <c r="L113" s="107" t="str">
        <f>IF(J113=0,"",IF(INDEX(Base,MATCH(E113,Comptes,0))="HT","1176",IF(INDEX(Base,MATCH(F113,Comptes,0))="HT","2200","ERREUR")))</f>
        <v>1176</v>
      </c>
    </row>
    <row r="114">
      <c r="A114" s="105" t="n">
        <v>45945</v>
      </c>
      <c r="B114" s="106" t="inlineStr">
        <is>
          <t>2025-113</t>
        </is>
      </c>
      <c r="C114" s="106" t="inlineStr">
        <is>
          <t>Abonnements &amp; informatique</t>
        </is>
      </c>
      <c r="D114" s="106" t="inlineStr">
        <is>
          <t>Charge</t>
        </is>
      </c>
      <c r="E114" s="107" t="inlineStr">
        <is>
          <t>6570</t>
        </is>
      </c>
      <c r="F114" s="107" t="inlineStr">
        <is>
          <t>1020</t>
        </is>
      </c>
      <c r="G114" s="108" t="n">
        <v>180</v>
      </c>
      <c r="H114" s="107" t="inlineStr">
        <is>
          <t>N</t>
        </is>
      </c>
      <c r="I114" s="109">
        <f>IFERROR(INDEX(TVA_taux,MATCH(H114,TVA_codes,0)),0)</f>
        <v>0.081</v>
      </c>
      <c r="J114" s="108">
        <f>ROUND(G114*I114,2)</f>
        <v>14.58</v>
      </c>
      <c r="K114" s="108">
        <f>G114+J114</f>
        <v>194.58</v>
      </c>
      <c r="L114" s="107" t="str">
        <f>IF(J114=0,"",IF(INDEX(Base,MATCH(E114,Comptes,0))="HT","1176",IF(INDEX(Base,MATCH(F114,Comptes,0))="HT","2200","ERREUR")))</f>
        <v>1176</v>
      </c>
    </row>
    <row r="115">
      <c r="A115" s="105" t="n">
        <v>45955</v>
      </c>
      <c r="B115" s="106" t="inlineStr">
        <is>
          <t>2025-114</t>
        </is>
      </c>
      <c r="C115" s="106" t="inlineStr">
        <is>
          <t>Loyer atelier</t>
        </is>
      </c>
      <c r="D115" s="106" t="inlineStr">
        <is>
          <t>Charge</t>
        </is>
      </c>
      <c r="E115" s="107" t="inlineStr">
        <is>
          <t>6000</t>
        </is>
      </c>
      <c r="F115" s="107" t="inlineStr">
        <is>
          <t>1020</t>
        </is>
      </c>
      <c r="G115" s="108" t="n">
        <v>1800</v>
      </c>
      <c r="H115" s="107" t="inlineStr">
        <is>
          <t>E</t>
        </is>
      </c>
      <c r="I115" s="109">
        <f>IFERROR(INDEX(TVA_taux,MATCH(H115,TVA_codes,0)),0)</f>
        <v>0</v>
      </c>
      <c r="J115" s="108">
        <f>ROUND(G115*I115,2)</f>
        <v>0</v>
      </c>
      <c r="K115" s="108">
        <f>G115+J115</f>
        <v>1800</v>
      </c>
      <c r="L115" s="107">
        <f>IF(J115=0,"",IF(INDEX(Base,MATCH(E115,Comptes,0))="HT","1176",IF(INDEX(Base,MATCH(F115,Comptes,0))="HT","2200","ERREUR")))</f>
        <v/>
      </c>
    </row>
    <row r="116">
      <c r="A116" s="105" t="n">
        <v>45955</v>
      </c>
      <c r="B116" s="106" t="inlineStr">
        <is>
          <t>2025-115</t>
        </is>
      </c>
      <c r="C116" s="106" t="inlineStr">
        <is>
          <t>Salaires bruts du mois (décompte)</t>
        </is>
      </c>
      <c r="D116" s="106" t="inlineStr">
        <is>
          <t>Salaire</t>
        </is>
      </c>
      <c r="E116" s="107" t="inlineStr">
        <is>
          <t>5000</t>
        </is>
      </c>
      <c r="F116" s="107" t="inlineStr">
        <is>
          <t>2270</t>
        </is>
      </c>
      <c r="G116" s="108" t="n">
        <v>8500</v>
      </c>
      <c r="H116" s="107" t="inlineStr">
        <is>
          <t>E</t>
        </is>
      </c>
      <c r="I116" s="109">
        <f>IFERROR(INDEX(TVA_taux,MATCH(H116,TVA_codes,0)),0)</f>
        <v>0</v>
      </c>
      <c r="J116" s="108">
        <f>ROUND(G116*I116,2)</f>
        <v>0</v>
      </c>
      <c r="K116" s="108">
        <f>G116+J116</f>
        <v>8500</v>
      </c>
      <c r="L116" s="107">
        <f>IF(J116=0,"",IF(INDEX(Base,MATCH(E116,Comptes,0))="HT","1176",IF(INDEX(Base,MATCH(F116,Comptes,0))="HT","2200","ERREUR")))</f>
        <v/>
      </c>
    </row>
    <row r="117">
      <c r="A117" s="105" t="n">
        <v>45955</v>
      </c>
      <c r="B117" s="106" t="inlineStr">
        <is>
          <t>2025-116</t>
        </is>
      </c>
      <c r="C117" s="106" t="inlineStr">
        <is>
          <t>Salaires nets versés</t>
        </is>
      </c>
      <c r="D117" s="106" t="inlineStr">
        <is>
          <t>Salaire</t>
        </is>
      </c>
      <c r="E117" s="107" t="inlineStr">
        <is>
          <t>2270</t>
        </is>
      </c>
      <c r="F117" s="107" t="inlineStr">
        <is>
          <t>1020</t>
        </is>
      </c>
      <c r="G117" s="108" t="n">
        <v>7725.07</v>
      </c>
      <c r="H117" s="107" t="inlineStr">
        <is>
          <t>E</t>
        </is>
      </c>
      <c r="I117" s="109">
        <f>IFERROR(INDEX(TVA_taux,MATCH(H117,TVA_codes,0)),0)</f>
        <v>0</v>
      </c>
      <c r="J117" s="108">
        <f>ROUND(G117*I117,2)</f>
        <v>0</v>
      </c>
      <c r="K117" s="108">
        <f>G117+J117</f>
        <v>7725.07</v>
      </c>
      <c r="L117" s="107">
        <f>IF(J117=0,"",IF(INDEX(Base,MATCH(E117,Comptes,0))="HT","1176",IF(INDEX(Base,MATCH(F117,Comptes,0))="HT","2200","ERREUR")))</f>
        <v/>
      </c>
    </row>
    <row r="118">
      <c r="A118" s="105" t="n">
        <v>45955</v>
      </c>
      <c r="B118" s="106" t="inlineStr">
        <is>
          <t>2025-117</t>
        </is>
      </c>
      <c r="C118" s="106" t="inlineStr">
        <is>
          <t>Charges sociales patronales du mois (décompte)</t>
        </is>
      </c>
      <c r="D118" s="106" t="inlineStr">
        <is>
          <t>Salaire</t>
        </is>
      </c>
      <c r="E118" s="107" t="inlineStr">
        <is>
          <t>5700</t>
        </is>
      </c>
      <c r="F118" s="107" t="inlineStr">
        <is>
          <t>2270</t>
        </is>
      </c>
      <c r="G118" s="108" t="n">
        <v>962.42</v>
      </c>
      <c r="H118" s="107" t="inlineStr">
        <is>
          <t>E</t>
        </is>
      </c>
      <c r="I118" s="109">
        <f>IFERROR(INDEX(TVA_taux,MATCH(H118,TVA_codes,0)),0)</f>
        <v>0</v>
      </c>
      <c r="J118" s="108">
        <f>ROUND(G118*I118,2)</f>
        <v>0</v>
      </c>
      <c r="K118" s="108">
        <f>G118+J118</f>
        <v>962.42</v>
      </c>
      <c r="L118" s="107">
        <f>IF(J118=0,"",IF(INDEX(Base,MATCH(E118,Comptes,0))="HT","1176",IF(INDEX(Base,MATCH(F118,Comptes,0))="HT","2200","ERREUR")))</f>
        <v/>
      </c>
    </row>
    <row r="119">
      <c r="A119" s="105" t="n">
        <v>45957</v>
      </c>
      <c r="B119" s="106" t="inlineStr">
        <is>
          <t>2025-118</t>
        </is>
      </c>
      <c r="C119" s="106" t="inlineStr">
        <is>
          <t>Paiement fournisseurs</t>
        </is>
      </c>
      <c r="D119" s="106" t="inlineStr">
        <is>
          <t>Règlement</t>
        </is>
      </c>
      <c r="E119" s="107" t="inlineStr">
        <is>
          <t>2000</t>
        </is>
      </c>
      <c r="F119" s="107" t="inlineStr">
        <is>
          <t>1020</t>
        </is>
      </c>
      <c r="G119" s="108" t="n">
        <v>4052.6</v>
      </c>
      <c r="H119" s="107" t="inlineStr">
        <is>
          <t>E</t>
        </is>
      </c>
      <c r="I119" s="109">
        <f>IFERROR(INDEX(TVA_taux,MATCH(H119,TVA_codes,0)),0)</f>
        <v>0</v>
      </c>
      <c r="J119" s="108">
        <f>ROUND(G119*I119,2)</f>
        <v>0</v>
      </c>
      <c r="K119" s="108">
        <f>G119+J119</f>
        <v>4052.6</v>
      </c>
      <c r="L119" s="107">
        <f>IF(J119=0,"",IF(INDEX(Base,MATCH(E119,Comptes,0))="HT","1176",IF(INDEX(Base,MATCH(F119,Comptes,0))="HT","2200","ERREUR")))</f>
        <v/>
      </c>
    </row>
    <row r="120">
      <c r="A120" s="105" t="n">
        <v>45958</v>
      </c>
      <c r="B120" s="106" t="inlineStr">
        <is>
          <t>2025-119</t>
        </is>
      </c>
      <c r="C120" s="106" t="inlineStr">
        <is>
          <t>Encaissement clients</t>
        </is>
      </c>
      <c r="D120" s="106" t="inlineStr">
        <is>
          <t>Règlement</t>
        </is>
      </c>
      <c r="E120" s="107" t="inlineStr">
        <is>
          <t>1020</t>
        </is>
      </c>
      <c r="F120" s="107" t="inlineStr">
        <is>
          <t>1100</t>
        </is>
      </c>
      <c r="G120" s="108" t="n">
        <v>20947.5</v>
      </c>
      <c r="H120" s="107" t="inlineStr">
        <is>
          <t>E</t>
        </is>
      </c>
      <c r="I120" s="109">
        <f>IFERROR(INDEX(TVA_taux,MATCH(H120,TVA_codes,0)),0)</f>
        <v>0</v>
      </c>
      <c r="J120" s="108">
        <f>ROUND(G120*I120,2)</f>
        <v>0</v>
      </c>
      <c r="K120" s="108">
        <f>G120+J120</f>
        <v>20947.5</v>
      </c>
      <c r="L120" s="107">
        <f>IF(J120=0,"",IF(INDEX(Base,MATCH(E120,Comptes,0))="HT","1176",IF(INDEX(Base,MATCH(F120,Comptes,0))="HT","2200","ERREUR")))</f>
        <v/>
      </c>
    </row>
    <row r="121">
      <c r="A121" s="105" t="n">
        <v>45961</v>
      </c>
      <c r="B121" s="106" t="inlineStr">
        <is>
          <t>2025-120</t>
        </is>
      </c>
      <c r="C121" s="106" t="inlineStr">
        <is>
          <t>Décompte AVS/AC/AF/LPP T3 — versement caisse de compensation et fondation</t>
        </is>
      </c>
      <c r="D121" s="106" t="inlineStr">
        <is>
          <t>Décompte social</t>
        </is>
      </c>
      <c r="E121" s="107" t="inlineStr">
        <is>
          <t>2270</t>
        </is>
      </c>
      <c r="F121" s="107" t="inlineStr">
        <is>
          <t>1020</t>
        </is>
      </c>
      <c r="G121" s="108" t="n">
        <v>5212.05</v>
      </c>
      <c r="H121" s="107" t="inlineStr">
        <is>
          <t>E</t>
        </is>
      </c>
      <c r="I121" s="109">
        <f>IFERROR(INDEX(TVA_taux,MATCH(H121,TVA_codes,0)),0)</f>
        <v>0</v>
      </c>
      <c r="J121" s="108">
        <f>ROUND(G121*I121,2)</f>
        <v>0</v>
      </c>
      <c r="K121" s="108">
        <f>G121+J121</f>
        <v>5212.05</v>
      </c>
      <c r="L121" s="107">
        <f>IF(J121=0,"",IF(INDEX(Base,MATCH(E121,Comptes,0))="HT","1176",IF(INDEX(Base,MATCH(F121,Comptes,0))="HT","2200","ERREUR")))</f>
        <v/>
      </c>
    </row>
    <row r="122">
      <c r="A122" s="105" t="n">
        <v>45966</v>
      </c>
      <c r="B122" s="106" t="inlineStr">
        <is>
          <t>2025-121</t>
        </is>
      </c>
      <c r="C122" s="106" t="inlineStr">
        <is>
          <t>Prestations d'atelier</t>
        </is>
      </c>
      <c r="D122" s="106" t="inlineStr">
        <is>
          <t>Vente</t>
        </is>
      </c>
      <c r="E122" s="107" t="inlineStr">
        <is>
          <t>1100</t>
        </is>
      </c>
      <c r="F122" s="107" t="inlineStr">
        <is>
          <t>3000</t>
        </is>
      </c>
      <c r="G122" s="108" t="n">
        <v>15600</v>
      </c>
      <c r="H122" s="107" t="inlineStr">
        <is>
          <t>N</t>
        </is>
      </c>
      <c r="I122" s="109">
        <f>IFERROR(INDEX(TVA_taux,MATCH(H122,TVA_codes,0)),0)</f>
        <v>0.081</v>
      </c>
      <c r="J122" s="108">
        <f>ROUND(G122*I122,2)</f>
        <v>1263.6</v>
      </c>
      <c r="K122" s="108">
        <f>G122+J122</f>
        <v>16863.6</v>
      </c>
      <c r="L122" s="107" t="str">
        <f>IF(J122=0,"",IF(INDEX(Base,MATCH(E122,Comptes,0))="HT","1176",IF(INDEX(Base,MATCH(F122,Comptes,0))="HT","2200","ERREUR")))</f>
        <v>2200</v>
      </c>
    </row>
    <row r="123">
      <c r="A123" s="105" t="n">
        <v>45966</v>
      </c>
      <c r="B123" s="106" t="inlineStr">
        <is>
          <t>2025-122</t>
        </is>
      </c>
      <c r="C123" s="106" t="inlineStr">
        <is>
          <t>Achats matières &amp; marchandises</t>
        </is>
      </c>
      <c r="D123" s="106" t="inlineStr">
        <is>
          <t>Achat</t>
        </is>
      </c>
      <c r="E123" s="107" t="inlineStr">
        <is>
          <t>4000</t>
        </is>
      </c>
      <c r="F123" s="107" t="inlineStr">
        <is>
          <t>2000</t>
        </is>
      </c>
      <c r="G123" s="108" t="n">
        <v>4300</v>
      </c>
      <c r="H123" s="107" t="inlineStr">
        <is>
          <t>N</t>
        </is>
      </c>
      <c r="I123" s="109">
        <f>IFERROR(INDEX(TVA_taux,MATCH(H123,TVA_codes,0)),0)</f>
        <v>0.081</v>
      </c>
      <c r="J123" s="108">
        <f>ROUND(G123*I123,2)</f>
        <v>348.3</v>
      </c>
      <c r="K123" s="108">
        <f>G123+J123</f>
        <v>4648.3</v>
      </c>
      <c r="L123" s="107" t="str">
        <f>IF(J123=0,"",IF(INDEX(Base,MATCH(E123,Comptes,0))="HT","1176",IF(INDEX(Base,MATCH(F123,Comptes,0))="HT","2200","ERREUR")))</f>
        <v>1176</v>
      </c>
    </row>
    <row r="124">
      <c r="A124" s="105" t="n">
        <v>45976</v>
      </c>
      <c r="B124" s="106" t="inlineStr">
        <is>
          <t>2025-123</t>
        </is>
      </c>
      <c r="C124" s="106" t="inlineStr">
        <is>
          <t>Ventes de mobilier</t>
        </is>
      </c>
      <c r="D124" s="106" t="inlineStr">
        <is>
          <t>Vente</t>
        </is>
      </c>
      <c r="E124" s="107" t="inlineStr">
        <is>
          <t>1100</t>
        </is>
      </c>
      <c r="F124" s="107" t="inlineStr">
        <is>
          <t>3200</t>
        </is>
      </c>
      <c r="G124" s="108" t="n">
        <v>5900</v>
      </c>
      <c r="H124" s="107" t="inlineStr">
        <is>
          <t>N</t>
        </is>
      </c>
      <c r="I124" s="109">
        <f>IFERROR(INDEX(TVA_taux,MATCH(H124,TVA_codes,0)),0)</f>
        <v>0.081</v>
      </c>
      <c r="J124" s="108">
        <f>ROUND(G124*I124,2)</f>
        <v>477.9</v>
      </c>
      <c r="K124" s="108">
        <f>G124+J124</f>
        <v>6377.9</v>
      </c>
      <c r="L124" s="107" t="str">
        <f>IF(J124=0,"",IF(INDEX(Base,MATCH(E124,Comptes,0))="HT","1176",IF(INDEX(Base,MATCH(F124,Comptes,0))="HT","2200","ERREUR")))</f>
        <v>2200</v>
      </c>
    </row>
    <row r="125">
      <c r="A125" s="105" t="n">
        <v>45976</v>
      </c>
      <c r="B125" s="106" t="inlineStr">
        <is>
          <t>2025-124</t>
        </is>
      </c>
      <c r="C125" s="106" t="inlineStr">
        <is>
          <t>Fournitures &amp; administration</t>
        </is>
      </c>
      <c r="D125" s="106" t="inlineStr">
        <is>
          <t>Charge</t>
        </is>
      </c>
      <c r="E125" s="107" t="inlineStr">
        <is>
          <t>6500</t>
        </is>
      </c>
      <c r="F125" s="107" t="inlineStr">
        <is>
          <t>1020</t>
        </is>
      </c>
      <c r="G125" s="108" t="n">
        <v>290</v>
      </c>
      <c r="H125" s="107" t="inlineStr">
        <is>
          <t>N</t>
        </is>
      </c>
      <c r="I125" s="109">
        <f>IFERROR(INDEX(TVA_taux,MATCH(H125,TVA_codes,0)),0)</f>
        <v>0.081</v>
      </c>
      <c r="J125" s="108">
        <f>ROUND(G125*I125,2)</f>
        <v>23.49</v>
      </c>
      <c r="K125" s="108">
        <f>G125+J125</f>
        <v>313.49</v>
      </c>
      <c r="L125" s="107" t="str">
        <f>IF(J125=0,"",IF(INDEX(Base,MATCH(E125,Comptes,0))="HT","1176",IF(INDEX(Base,MATCH(F125,Comptes,0))="HT","2200","ERREUR")))</f>
        <v>1176</v>
      </c>
    </row>
    <row r="126">
      <c r="A126" s="105" t="n">
        <v>45976</v>
      </c>
      <c r="B126" s="106" t="inlineStr">
        <is>
          <t>2025-125</t>
        </is>
      </c>
      <c r="C126" s="106" t="inlineStr">
        <is>
          <t>Publicité &amp; marketing</t>
        </is>
      </c>
      <c r="D126" s="106" t="inlineStr">
        <is>
          <t>Charge</t>
        </is>
      </c>
      <c r="E126" s="107" t="inlineStr">
        <is>
          <t>6600</t>
        </is>
      </c>
      <c r="F126" s="107" t="inlineStr">
        <is>
          <t>1020</t>
        </is>
      </c>
      <c r="G126" s="108" t="n">
        <v>1100</v>
      </c>
      <c r="H126" s="107" t="inlineStr">
        <is>
          <t>N</t>
        </is>
      </c>
      <c r="I126" s="109">
        <f>IFERROR(INDEX(TVA_taux,MATCH(H126,TVA_codes,0)),0)</f>
        <v>0.081</v>
      </c>
      <c r="J126" s="108">
        <f>ROUND(G126*I126,2)</f>
        <v>89.1</v>
      </c>
      <c r="K126" s="108">
        <f>G126+J126</f>
        <v>1189.1</v>
      </c>
      <c r="L126" s="107" t="str">
        <f>IF(J126=0,"",IF(INDEX(Base,MATCH(E126,Comptes,0))="HT","1176",IF(INDEX(Base,MATCH(F126,Comptes,0))="HT","2200","ERREUR")))</f>
        <v>1176</v>
      </c>
    </row>
    <row r="127">
      <c r="A127" s="105" t="n">
        <v>45986</v>
      </c>
      <c r="B127" s="106" t="inlineStr">
        <is>
          <t>2025-126</t>
        </is>
      </c>
      <c r="C127" s="106" t="inlineStr">
        <is>
          <t>Loyer atelier</t>
        </is>
      </c>
      <c r="D127" s="106" t="inlineStr">
        <is>
          <t>Charge</t>
        </is>
      </c>
      <c r="E127" s="107" t="inlineStr">
        <is>
          <t>6000</t>
        </is>
      </c>
      <c r="F127" s="107" t="inlineStr">
        <is>
          <t>1020</t>
        </is>
      </c>
      <c r="G127" s="108" t="n">
        <v>1800</v>
      </c>
      <c r="H127" s="107" t="inlineStr">
        <is>
          <t>E</t>
        </is>
      </c>
      <c r="I127" s="109">
        <f>IFERROR(INDEX(TVA_taux,MATCH(H127,TVA_codes,0)),0)</f>
        <v>0</v>
      </c>
      <c r="J127" s="108">
        <f>ROUND(G127*I127,2)</f>
        <v>0</v>
      </c>
      <c r="K127" s="108">
        <f>G127+J127</f>
        <v>1800</v>
      </c>
      <c r="L127" s="107">
        <f>IF(J127=0,"",IF(INDEX(Base,MATCH(E127,Comptes,0))="HT","1176",IF(INDEX(Base,MATCH(F127,Comptes,0))="HT","2200","ERREUR")))</f>
        <v/>
      </c>
    </row>
    <row r="128">
      <c r="A128" s="105" t="n">
        <v>45986</v>
      </c>
      <c r="B128" s="106" t="inlineStr">
        <is>
          <t>2025-127</t>
        </is>
      </c>
      <c r="C128" s="106" t="inlineStr">
        <is>
          <t>Salaires bruts du mois (décompte)</t>
        </is>
      </c>
      <c r="D128" s="106" t="inlineStr">
        <is>
          <t>Salaire</t>
        </is>
      </c>
      <c r="E128" s="107" t="inlineStr">
        <is>
          <t>5000</t>
        </is>
      </c>
      <c r="F128" s="107" t="inlineStr">
        <is>
          <t>2270</t>
        </is>
      </c>
      <c r="G128" s="108" t="n">
        <v>8500</v>
      </c>
      <c r="H128" s="107" t="inlineStr">
        <is>
          <t>E</t>
        </is>
      </c>
      <c r="I128" s="109">
        <f>IFERROR(INDEX(TVA_taux,MATCH(H128,TVA_codes,0)),0)</f>
        <v>0</v>
      </c>
      <c r="J128" s="108">
        <f>ROUND(G128*I128,2)</f>
        <v>0</v>
      </c>
      <c r="K128" s="108">
        <f>G128+J128</f>
        <v>8500</v>
      </c>
      <c r="L128" s="107">
        <f>IF(J128=0,"",IF(INDEX(Base,MATCH(E128,Comptes,0))="HT","1176",IF(INDEX(Base,MATCH(F128,Comptes,0))="HT","2200","ERREUR")))</f>
        <v/>
      </c>
    </row>
    <row r="129">
      <c r="A129" s="105" t="n">
        <v>45986</v>
      </c>
      <c r="B129" s="106" t="inlineStr">
        <is>
          <t>2025-128</t>
        </is>
      </c>
      <c r="C129" s="106" t="inlineStr">
        <is>
          <t>Salaires nets versés</t>
        </is>
      </c>
      <c r="D129" s="106" t="inlineStr">
        <is>
          <t>Salaire</t>
        </is>
      </c>
      <c r="E129" s="107" t="inlineStr">
        <is>
          <t>2270</t>
        </is>
      </c>
      <c r="F129" s="107" t="inlineStr">
        <is>
          <t>1020</t>
        </is>
      </c>
      <c r="G129" s="108" t="n">
        <v>7725.07</v>
      </c>
      <c r="H129" s="107" t="inlineStr">
        <is>
          <t>E</t>
        </is>
      </c>
      <c r="I129" s="109">
        <f>IFERROR(INDEX(TVA_taux,MATCH(H129,TVA_codes,0)),0)</f>
        <v>0</v>
      </c>
      <c r="J129" s="108">
        <f>ROUND(G129*I129,2)</f>
        <v>0</v>
      </c>
      <c r="K129" s="108">
        <f>G129+J129</f>
        <v>7725.07</v>
      </c>
      <c r="L129" s="107">
        <f>IF(J129=0,"",IF(INDEX(Base,MATCH(E129,Comptes,0))="HT","1176",IF(INDEX(Base,MATCH(F129,Comptes,0))="HT","2200","ERREUR")))</f>
        <v/>
      </c>
    </row>
    <row r="130">
      <c r="A130" s="105" t="n">
        <v>45986</v>
      </c>
      <c r="B130" s="106" t="inlineStr">
        <is>
          <t>2025-129</t>
        </is>
      </c>
      <c r="C130" s="106" t="inlineStr">
        <is>
          <t>Charges sociales patronales du mois (décompte)</t>
        </is>
      </c>
      <c r="D130" s="106" t="inlineStr">
        <is>
          <t>Salaire</t>
        </is>
      </c>
      <c r="E130" s="107" t="inlineStr">
        <is>
          <t>5700</t>
        </is>
      </c>
      <c r="F130" s="107" t="inlineStr">
        <is>
          <t>2270</t>
        </is>
      </c>
      <c r="G130" s="108" t="n">
        <v>962.42</v>
      </c>
      <c r="H130" s="107" t="inlineStr">
        <is>
          <t>E</t>
        </is>
      </c>
      <c r="I130" s="109">
        <f>IFERROR(INDEX(TVA_taux,MATCH(H130,TVA_codes,0)),0)</f>
        <v>0</v>
      </c>
      <c r="J130" s="108">
        <f>ROUND(G130*I130,2)</f>
        <v>0</v>
      </c>
      <c r="K130" s="108">
        <f>G130+J130</f>
        <v>962.42</v>
      </c>
      <c r="L130" s="107">
        <f>IF(J130=0,"",IF(INDEX(Base,MATCH(E130,Comptes,0))="HT","1176",IF(INDEX(Base,MATCH(F130,Comptes,0))="HT","2200","ERREUR")))</f>
        <v/>
      </c>
    </row>
    <row r="131">
      <c r="A131" s="105" t="n">
        <v>45988</v>
      </c>
      <c r="B131" s="106" t="inlineStr">
        <is>
          <t>2025-130</t>
        </is>
      </c>
      <c r="C131" s="106" t="inlineStr">
        <is>
          <t>Paiement fournisseurs</t>
        </is>
      </c>
      <c r="D131" s="106" t="inlineStr">
        <is>
          <t>Règlement</t>
        </is>
      </c>
      <c r="E131" s="107" t="inlineStr">
        <is>
          <t>2000</t>
        </is>
      </c>
      <c r="F131" s="107" t="inlineStr">
        <is>
          <t>1020</t>
        </is>
      </c>
      <c r="G131" s="108" t="n">
        <v>3788.3</v>
      </c>
      <c r="H131" s="107" t="inlineStr">
        <is>
          <t>E</t>
        </is>
      </c>
      <c r="I131" s="109">
        <f>IFERROR(INDEX(TVA_taux,MATCH(H131,TVA_codes,0)),0)</f>
        <v>0</v>
      </c>
      <c r="J131" s="108">
        <f>ROUND(G131*I131,2)</f>
        <v>0</v>
      </c>
      <c r="K131" s="108">
        <f>G131+J131</f>
        <v>3788.3</v>
      </c>
      <c r="L131" s="107">
        <f>IF(J131=0,"",IF(INDEX(Base,MATCH(E131,Comptes,0))="HT","1176",IF(INDEX(Base,MATCH(F131,Comptes,0))="HT","2200","ERREUR")))</f>
        <v/>
      </c>
    </row>
    <row r="132">
      <c r="A132" s="105" t="n">
        <v>45989</v>
      </c>
      <c r="B132" s="106" t="inlineStr">
        <is>
          <t>2025-131</t>
        </is>
      </c>
      <c r="C132" s="106" t="inlineStr">
        <is>
          <t>Encaissement clients</t>
        </is>
      </c>
      <c r="D132" s="106" t="inlineStr">
        <is>
          <t>Règlement</t>
        </is>
      </c>
      <c r="E132" s="107" t="inlineStr">
        <is>
          <t>1020</t>
        </is>
      </c>
      <c r="F132" s="107" t="inlineStr">
        <is>
          <t>1100</t>
        </is>
      </c>
      <c r="G132" s="108" t="n">
        <v>20016.5</v>
      </c>
      <c r="H132" s="107" t="inlineStr">
        <is>
          <t>E</t>
        </is>
      </c>
      <c r="I132" s="109">
        <f>IFERROR(INDEX(TVA_taux,MATCH(H132,TVA_codes,0)),0)</f>
        <v>0</v>
      </c>
      <c r="J132" s="108">
        <f>ROUND(G132*I132,2)</f>
        <v>0</v>
      </c>
      <c r="K132" s="108">
        <f>G132+J132</f>
        <v>20016.5</v>
      </c>
      <c r="L132" s="107">
        <f>IF(J132=0,"",IF(INDEX(Base,MATCH(E132,Comptes,0))="HT","1176",IF(INDEX(Base,MATCH(F132,Comptes,0))="HT","2200","ERREUR")))</f>
        <v/>
      </c>
    </row>
    <row r="133">
      <c r="A133" s="105" t="n">
        <v>45991</v>
      </c>
      <c r="B133" s="106" t="inlineStr">
        <is>
          <t>2025-132</t>
        </is>
      </c>
      <c r="C133" s="106" t="inlineStr">
        <is>
          <t>Décompte TVA T3 — compensation impôt préalable</t>
        </is>
      </c>
      <c r="D133" s="106" t="inlineStr">
        <is>
          <t>TVA</t>
        </is>
      </c>
      <c r="E133" s="107" t="inlineStr">
        <is>
          <t>2200</t>
        </is>
      </c>
      <c r="F133" s="107" t="inlineStr">
        <is>
          <t>1176</t>
        </is>
      </c>
      <c r="G133" s="108" t="n">
        <v>885.33</v>
      </c>
      <c r="H133" s="107" t="inlineStr">
        <is>
          <t>E</t>
        </is>
      </c>
      <c r="I133" s="109">
        <f>IFERROR(INDEX(TVA_taux,MATCH(H133,TVA_codes,0)),0)</f>
        <v>0</v>
      </c>
      <c r="J133" s="108">
        <f>ROUND(G133*I133,2)</f>
        <v>0</v>
      </c>
      <c r="K133" s="108">
        <f>G133+J133</f>
        <v>885.33</v>
      </c>
      <c r="L133" s="107">
        <f>IF(J133=0,"",IF(INDEX(Base,MATCH(E133,Comptes,0))="HT","1176",IF(INDEX(Base,MATCH(F133,Comptes,0))="HT","2200","ERREUR")))</f>
        <v/>
      </c>
    </row>
    <row r="134">
      <c r="A134" s="105" t="n">
        <v>45991</v>
      </c>
      <c r="B134" s="106" t="inlineStr">
        <is>
          <t>2025-133</t>
        </is>
      </c>
      <c r="C134" s="106" t="inlineStr">
        <is>
          <t>Décompte TVA T3 — paiement à l'AFC</t>
        </is>
      </c>
      <c r="D134" s="106" t="inlineStr">
        <is>
          <t>TVA</t>
        </is>
      </c>
      <c r="E134" s="107" t="inlineStr">
        <is>
          <t>2200</t>
        </is>
      </c>
      <c r="F134" s="107" t="inlineStr">
        <is>
          <t>1020</t>
        </is>
      </c>
      <c r="G134" s="108" t="n">
        <v>2581.47</v>
      </c>
      <c r="H134" s="107" t="inlineStr">
        <is>
          <t>E</t>
        </is>
      </c>
      <c r="I134" s="109">
        <f>IFERROR(INDEX(TVA_taux,MATCH(H134,TVA_codes,0)),0)</f>
        <v>0</v>
      </c>
      <c r="J134" s="108">
        <f>ROUND(G134*I134,2)</f>
        <v>0</v>
      </c>
      <c r="K134" s="108">
        <f>G134+J134</f>
        <v>2581.47</v>
      </c>
      <c r="L134" s="107">
        <f>IF(J134=0,"",IF(INDEX(Base,MATCH(E134,Comptes,0))="HT","1176",IF(INDEX(Base,MATCH(F134,Comptes,0))="HT","2200","ERREUR")))</f>
        <v/>
      </c>
    </row>
    <row r="135">
      <c r="A135" s="105" t="n">
        <v>45996</v>
      </c>
      <c r="B135" s="106" t="inlineStr">
        <is>
          <t>2025-134</t>
        </is>
      </c>
      <c r="C135" s="106" t="inlineStr">
        <is>
          <t>Prestations d'atelier</t>
        </is>
      </c>
      <c r="D135" s="106" t="inlineStr">
        <is>
          <t>Vente</t>
        </is>
      </c>
      <c r="E135" s="107" t="inlineStr">
        <is>
          <t>1100</t>
        </is>
      </c>
      <c r="F135" s="107" t="inlineStr">
        <is>
          <t>3000</t>
        </is>
      </c>
      <c r="G135" s="108" t="n">
        <v>18700</v>
      </c>
      <c r="H135" s="107" t="inlineStr">
        <is>
          <t>N</t>
        </is>
      </c>
      <c r="I135" s="109">
        <f>IFERROR(INDEX(TVA_taux,MATCH(H135,TVA_codes,0)),0)</f>
        <v>0.081</v>
      </c>
      <c r="J135" s="108">
        <f>ROUND(G135*I135,2)</f>
        <v>1514.7</v>
      </c>
      <c r="K135" s="108">
        <f>G135+J135</f>
        <v>20214.7</v>
      </c>
      <c r="L135" s="107" t="str">
        <f>IF(J135=0,"",IF(INDEX(Base,MATCH(E135,Comptes,0))="HT","1176",IF(INDEX(Base,MATCH(F135,Comptes,0))="HT","2200","ERREUR")))</f>
        <v>2200</v>
      </c>
    </row>
    <row r="136">
      <c r="A136" s="105" t="n">
        <v>45996</v>
      </c>
      <c r="B136" s="106" t="inlineStr">
        <is>
          <t>2025-135</t>
        </is>
      </c>
      <c r="C136" s="106" t="inlineStr">
        <is>
          <t>Achats matières &amp; marchandises</t>
        </is>
      </c>
      <c r="D136" s="106" t="inlineStr">
        <is>
          <t>Achat</t>
        </is>
      </c>
      <c r="E136" s="107" t="inlineStr">
        <is>
          <t>4000</t>
        </is>
      </c>
      <c r="F136" s="107" t="inlineStr">
        <is>
          <t>2000</t>
        </is>
      </c>
      <c r="G136" s="108" t="n">
        <v>5200</v>
      </c>
      <c r="H136" s="107" t="inlineStr">
        <is>
          <t>N</t>
        </is>
      </c>
      <c r="I136" s="109">
        <f>IFERROR(INDEX(TVA_taux,MATCH(H136,TVA_codes,0)),0)</f>
        <v>0.081</v>
      </c>
      <c r="J136" s="108">
        <f>ROUND(G136*I136,2)</f>
        <v>421.2</v>
      </c>
      <c r="K136" s="108">
        <f>G136+J136</f>
        <v>5621.2</v>
      </c>
      <c r="L136" s="107" t="str">
        <f>IF(J136=0,"",IF(INDEX(Base,MATCH(E136,Comptes,0))="HT","1176",IF(INDEX(Base,MATCH(F136,Comptes,0))="HT","2200","ERREUR")))</f>
        <v>1176</v>
      </c>
    </row>
    <row r="137">
      <c r="A137" s="105" t="n">
        <v>46006</v>
      </c>
      <c r="B137" s="106" t="inlineStr">
        <is>
          <t>2025-136</t>
        </is>
      </c>
      <c r="C137" s="106" t="inlineStr">
        <is>
          <t>Ventes de mobilier</t>
        </is>
      </c>
      <c r="D137" s="106" t="inlineStr">
        <is>
          <t>Vente</t>
        </is>
      </c>
      <c r="E137" s="107" t="inlineStr">
        <is>
          <t>1100</t>
        </is>
      </c>
      <c r="F137" s="107" t="inlineStr">
        <is>
          <t>3200</t>
        </is>
      </c>
      <c r="G137" s="108" t="n">
        <v>7200</v>
      </c>
      <c r="H137" s="107" t="inlineStr">
        <is>
          <t>N</t>
        </is>
      </c>
      <c r="I137" s="109">
        <f>IFERROR(INDEX(TVA_taux,MATCH(H137,TVA_codes,0)),0)</f>
        <v>0.081</v>
      </c>
      <c r="J137" s="108">
        <f>ROUND(G137*I137,2)</f>
        <v>583.2</v>
      </c>
      <c r="K137" s="108">
        <f>G137+J137</f>
        <v>7783.2</v>
      </c>
      <c r="L137" s="107" t="str">
        <f>IF(J137=0,"",IF(INDEX(Base,MATCH(E137,Comptes,0))="HT","1176",IF(INDEX(Base,MATCH(F137,Comptes,0))="HT","2200","ERREUR")))</f>
        <v>2200</v>
      </c>
    </row>
    <row r="138">
      <c r="A138" s="105" t="n">
        <v>46006</v>
      </c>
      <c r="B138" s="106" t="inlineStr">
        <is>
          <t>2025-137</t>
        </is>
      </c>
      <c r="C138" s="106" t="inlineStr">
        <is>
          <t>Fournitures &amp; administration</t>
        </is>
      </c>
      <c r="D138" s="106" t="inlineStr">
        <is>
          <t>Charge</t>
        </is>
      </c>
      <c r="E138" s="107" t="inlineStr">
        <is>
          <t>6500</t>
        </is>
      </c>
      <c r="F138" s="107" t="inlineStr">
        <is>
          <t>1020</t>
        </is>
      </c>
      <c r="G138" s="108" t="n">
        <v>350</v>
      </c>
      <c r="H138" s="107" t="inlineStr">
        <is>
          <t>N</t>
        </is>
      </c>
      <c r="I138" s="109">
        <f>IFERROR(INDEX(TVA_taux,MATCH(H138,TVA_codes,0)),0)</f>
        <v>0.081</v>
      </c>
      <c r="J138" s="108">
        <f>ROUND(G138*I138,2)</f>
        <v>28.35</v>
      </c>
      <c r="K138" s="108">
        <f>G138+J138</f>
        <v>378.35</v>
      </c>
      <c r="L138" s="107" t="str">
        <f>IF(J138=0,"",IF(INDEX(Base,MATCH(E138,Comptes,0))="HT","1176",IF(INDEX(Base,MATCH(F138,Comptes,0))="HT","2200","ERREUR")))</f>
        <v>1176</v>
      </c>
    </row>
    <row r="139">
      <c r="A139" s="105" t="n">
        <v>46016</v>
      </c>
      <c r="B139" s="106" t="inlineStr">
        <is>
          <t>2025-138</t>
        </is>
      </c>
      <c r="C139" s="106" t="inlineStr">
        <is>
          <t>Loyer atelier</t>
        </is>
      </c>
      <c r="D139" s="106" t="inlineStr">
        <is>
          <t>Charge</t>
        </is>
      </c>
      <c r="E139" s="107" t="inlineStr">
        <is>
          <t>6000</t>
        </is>
      </c>
      <c r="F139" s="107" t="inlineStr">
        <is>
          <t>1020</t>
        </is>
      </c>
      <c r="G139" s="108" t="n">
        <v>1800</v>
      </c>
      <c r="H139" s="107" t="inlineStr">
        <is>
          <t>E</t>
        </is>
      </c>
      <c r="I139" s="109">
        <f>IFERROR(INDEX(TVA_taux,MATCH(H139,TVA_codes,0)),0)</f>
        <v>0</v>
      </c>
      <c r="J139" s="108">
        <f>ROUND(G139*I139,2)</f>
        <v>0</v>
      </c>
      <c r="K139" s="108">
        <f>G139+J139</f>
        <v>1800</v>
      </c>
      <c r="L139" s="107">
        <f>IF(J139=0,"",IF(INDEX(Base,MATCH(E139,Comptes,0))="HT","1176",IF(INDEX(Base,MATCH(F139,Comptes,0))="HT","2200","ERREUR")))</f>
        <v/>
      </c>
    </row>
    <row r="140">
      <c r="A140" s="105" t="n">
        <v>46016</v>
      </c>
      <c r="B140" s="106" t="inlineStr">
        <is>
          <t>2025-139</t>
        </is>
      </c>
      <c r="C140" s="106" t="inlineStr">
        <is>
          <t>Salaires bruts du mois (décompte)</t>
        </is>
      </c>
      <c r="D140" s="106" t="inlineStr">
        <is>
          <t>Salaire</t>
        </is>
      </c>
      <c r="E140" s="107" t="inlineStr">
        <is>
          <t>5000</t>
        </is>
      </c>
      <c r="F140" s="107" t="inlineStr">
        <is>
          <t>2270</t>
        </is>
      </c>
      <c r="G140" s="108" t="n">
        <v>8500</v>
      </c>
      <c r="H140" s="107" t="inlineStr">
        <is>
          <t>E</t>
        </is>
      </c>
      <c r="I140" s="109">
        <f>IFERROR(INDEX(TVA_taux,MATCH(H140,TVA_codes,0)),0)</f>
        <v>0</v>
      </c>
      <c r="J140" s="108">
        <f>ROUND(G140*I140,2)</f>
        <v>0</v>
      </c>
      <c r="K140" s="108">
        <f>G140+J140</f>
        <v>8500</v>
      </c>
      <c r="L140" s="107">
        <f>IF(J140=0,"",IF(INDEX(Base,MATCH(E140,Comptes,0))="HT","1176",IF(INDEX(Base,MATCH(F140,Comptes,0))="HT","2200","ERREUR")))</f>
        <v/>
      </c>
    </row>
    <row r="141">
      <c r="A141" s="105" t="n">
        <v>46016</v>
      </c>
      <c r="B141" s="106" t="inlineStr">
        <is>
          <t>2025-140</t>
        </is>
      </c>
      <c r="C141" s="106" t="inlineStr">
        <is>
          <t>Salaires nets versés</t>
        </is>
      </c>
      <c r="D141" s="106" t="inlineStr">
        <is>
          <t>Salaire</t>
        </is>
      </c>
      <c r="E141" s="107" t="inlineStr">
        <is>
          <t>2270</t>
        </is>
      </c>
      <c r="F141" s="107" t="inlineStr">
        <is>
          <t>1020</t>
        </is>
      </c>
      <c r="G141" s="108" t="n">
        <v>7725.13</v>
      </c>
      <c r="H141" s="107" t="inlineStr">
        <is>
          <t>E</t>
        </is>
      </c>
      <c r="I141" s="109">
        <f>IFERROR(INDEX(TVA_taux,MATCH(H141,TVA_codes,0)),0)</f>
        <v>0</v>
      </c>
      <c r="J141" s="108">
        <f>ROUND(G141*I141,2)</f>
        <v>0</v>
      </c>
      <c r="K141" s="108">
        <f>G141+J141</f>
        <v>7725.13</v>
      </c>
      <c r="L141" s="107">
        <f>IF(J141=0,"",IF(INDEX(Base,MATCH(E141,Comptes,0))="HT","1176",IF(INDEX(Base,MATCH(F141,Comptes,0))="HT","2200","ERREUR")))</f>
        <v/>
      </c>
    </row>
    <row r="142">
      <c r="A142" s="105" t="n">
        <v>46016</v>
      </c>
      <c r="B142" s="106" t="inlineStr">
        <is>
          <t>2025-141</t>
        </is>
      </c>
      <c r="C142" s="106" t="inlineStr">
        <is>
          <t>Charges sociales patronales du mois (décompte)</t>
        </is>
      </c>
      <c r="D142" s="106" t="inlineStr">
        <is>
          <t>Salaire</t>
        </is>
      </c>
      <c r="E142" s="107" t="inlineStr">
        <is>
          <t>5700</t>
        </is>
      </c>
      <c r="F142" s="107" t="inlineStr">
        <is>
          <t>2270</t>
        </is>
      </c>
      <c r="G142" s="108" t="n">
        <v>962.4</v>
      </c>
      <c r="H142" s="107" t="inlineStr">
        <is>
          <t>E</t>
        </is>
      </c>
      <c r="I142" s="109">
        <f>IFERROR(INDEX(TVA_taux,MATCH(H142,TVA_codes,0)),0)</f>
        <v>0</v>
      </c>
      <c r="J142" s="108">
        <f>ROUND(G142*I142,2)</f>
        <v>0</v>
      </c>
      <c r="K142" s="108">
        <f>G142+J142</f>
        <v>962.4</v>
      </c>
      <c r="L142" s="107">
        <f>IF(J142=0,"",IF(INDEX(Base,MATCH(E142,Comptes,0))="HT","1176",IF(INDEX(Base,MATCH(F142,Comptes,0))="HT","2200","ERREUR")))</f>
        <v/>
      </c>
    </row>
    <row r="143">
      <c r="A143" s="105" t="n">
        <v>46018</v>
      </c>
      <c r="B143" s="106" t="inlineStr">
        <is>
          <t>2025-142</t>
        </is>
      </c>
      <c r="C143" s="106" t="inlineStr">
        <is>
          <t>Paiement fournisseurs</t>
        </is>
      </c>
      <c r="D143" s="106" t="inlineStr">
        <is>
          <t>Règlement</t>
        </is>
      </c>
      <c r="E143" s="107" t="inlineStr">
        <is>
          <t>2000</t>
        </is>
      </c>
      <c r="F143" s="107" t="inlineStr">
        <is>
          <t>1020</t>
        </is>
      </c>
      <c r="G143" s="108" t="n">
        <v>4581.2</v>
      </c>
      <c r="H143" s="107" t="inlineStr">
        <is>
          <t>E</t>
        </is>
      </c>
      <c r="I143" s="109">
        <f>IFERROR(INDEX(TVA_taux,MATCH(H143,TVA_codes,0)),0)</f>
        <v>0</v>
      </c>
      <c r="J143" s="108">
        <f>ROUND(G143*I143,2)</f>
        <v>0</v>
      </c>
      <c r="K143" s="108">
        <f>G143+J143</f>
        <v>4581.2</v>
      </c>
      <c r="L143" s="107">
        <f>IF(J143=0,"",IF(INDEX(Base,MATCH(E143,Comptes,0))="HT","1176",IF(INDEX(Base,MATCH(F143,Comptes,0))="HT","2200","ERREUR")))</f>
        <v/>
      </c>
    </row>
    <row r="144">
      <c r="A144" s="105" t="n">
        <v>46019</v>
      </c>
      <c r="B144" s="106" t="inlineStr">
        <is>
          <t>2025-143</t>
        </is>
      </c>
      <c r="C144" s="106" t="inlineStr">
        <is>
          <t>Encaissement clients</t>
        </is>
      </c>
      <c r="D144" s="106" t="inlineStr">
        <is>
          <t>Règlement</t>
        </is>
      </c>
      <c r="E144" s="107" t="inlineStr">
        <is>
          <t>1020</t>
        </is>
      </c>
      <c r="F144" s="107" t="inlineStr">
        <is>
          <t>1100</t>
        </is>
      </c>
      <c r="G144" s="108" t="n">
        <v>24112.9</v>
      </c>
      <c r="H144" s="107" t="inlineStr">
        <is>
          <t>E</t>
        </is>
      </c>
      <c r="I144" s="109">
        <f>IFERROR(INDEX(TVA_taux,MATCH(H144,TVA_codes,0)),0)</f>
        <v>0</v>
      </c>
      <c r="J144" s="108">
        <f>ROUND(G144*I144,2)</f>
        <v>0</v>
      </c>
      <c r="K144" s="108">
        <f>G144+J144</f>
        <v>24112.9</v>
      </c>
      <c r="L144" s="107">
        <f>IF(J144=0,"",IF(INDEX(Base,MATCH(E144,Comptes,0))="HT","1176",IF(INDEX(Base,MATCH(F144,Comptes,0))="HT","2200","ERREUR")))</f>
        <v/>
      </c>
    </row>
    <row r="145">
      <c r="A145" s="105" t="n">
        <v>46022</v>
      </c>
      <c r="B145" s="106" t="inlineStr">
        <is>
          <t>2025-144</t>
        </is>
      </c>
      <c r="C145" s="106" t="inlineStr">
        <is>
          <t>Intérêts sur emprunt (4.5%)</t>
        </is>
      </c>
      <c r="D145" s="106" t="inlineStr">
        <is>
          <t>Charge</t>
        </is>
      </c>
      <c r="E145" s="107" t="inlineStr">
        <is>
          <t>6900</t>
        </is>
      </c>
      <c r="F145" s="107" t="inlineStr">
        <is>
          <t>1020</t>
        </is>
      </c>
      <c r="G145" s="108" t="n">
        <v>1800</v>
      </c>
      <c r="H145" s="107" t="inlineStr">
        <is>
          <t>E</t>
        </is>
      </c>
      <c r="I145" s="109">
        <f>IFERROR(INDEX(TVA_taux,MATCH(H145,TVA_codes,0)),0)</f>
        <v>0</v>
      </c>
      <c r="J145" s="108">
        <f>ROUND(G145*I145,2)</f>
        <v>0</v>
      </c>
      <c r="K145" s="108">
        <f>G145+J145</f>
        <v>1800</v>
      </c>
      <c r="L145" s="107">
        <f>IF(J145=0,"",IF(INDEX(Base,MATCH(E145,Comptes,0))="HT","1176",IF(INDEX(Base,MATCH(F145,Comptes,0))="HT","2200","ERREUR")))</f>
        <v/>
      </c>
    </row>
    <row r="146">
      <c r="A146" s="105" t="n">
        <v>46022</v>
      </c>
      <c r="B146" s="106" t="inlineStr">
        <is>
          <t>2025-145</t>
        </is>
      </c>
      <c r="C146" s="106" t="inlineStr">
        <is>
          <t>Amortissement machines (20%)</t>
        </is>
      </c>
      <c r="D146" s="106" t="inlineStr">
        <is>
          <t>Amort.</t>
        </is>
      </c>
      <c r="E146" s="107" t="inlineStr">
        <is>
          <t>6800</t>
        </is>
      </c>
      <c r="F146" s="107" t="inlineStr">
        <is>
          <t>1500</t>
        </is>
      </c>
      <c r="G146" s="108" t="n">
        <v>6000</v>
      </c>
      <c r="H146" s="107" t="inlineStr">
        <is>
          <t>E</t>
        </is>
      </c>
      <c r="I146" s="109">
        <f>IFERROR(INDEX(TVA_taux,MATCH(H146,TVA_codes,0)),0)</f>
        <v>0</v>
      </c>
      <c r="J146" s="108">
        <f>ROUND(G146*I146,2)</f>
        <v>0</v>
      </c>
      <c r="K146" s="108">
        <f>G146+J146</f>
        <v>6000</v>
      </c>
      <c r="L146" s="107">
        <f>IF(J146=0,"",IF(INDEX(Base,MATCH(E146,Comptes,0))="HT","1176",IF(INDEX(Base,MATCH(F146,Comptes,0))="HT","2200","ERREUR")))</f>
        <v/>
      </c>
    </row>
    <row r="147">
      <c r="A147" s="105" t="n">
        <v>46022</v>
      </c>
      <c r="B147" s="106" t="inlineStr">
        <is>
          <t>2025-146</t>
        </is>
      </c>
      <c r="C147" s="106" t="inlineStr">
        <is>
          <t>Amortissement mobilier (20%)</t>
        </is>
      </c>
      <c r="D147" s="106" t="inlineStr">
        <is>
          <t>Amort.</t>
        </is>
      </c>
      <c r="E147" s="107" t="inlineStr">
        <is>
          <t>6800</t>
        </is>
      </c>
      <c r="F147" s="107" t="inlineStr">
        <is>
          <t>1510</t>
        </is>
      </c>
      <c r="G147" s="108" t="n">
        <v>1600</v>
      </c>
      <c r="H147" s="107" t="inlineStr">
        <is>
          <t>E</t>
        </is>
      </c>
      <c r="I147" s="109">
        <f>IFERROR(INDEX(TVA_taux,MATCH(H147,TVA_codes,0)),0)</f>
        <v>0</v>
      </c>
      <c r="J147" s="108">
        <f>ROUND(G147*I147,2)</f>
        <v>0</v>
      </c>
      <c r="K147" s="108">
        <f>G147+J147</f>
        <v>1600</v>
      </c>
      <c r="L147" s="107">
        <f>IF(J147=0,"",IF(INDEX(Base,MATCH(E147,Comptes,0))="HT","1176",IF(INDEX(Base,MATCH(F147,Comptes,0))="HT","2200","ERREUR")))</f>
        <v/>
      </c>
    </row>
    <row r="148">
      <c r="A148" s="105" t="n">
        <v>46022</v>
      </c>
      <c r="B148" s="106" t="inlineStr">
        <is>
          <t>2025-147</t>
        </is>
      </c>
      <c r="C148" s="106" t="inlineStr">
        <is>
          <t>Amortissement véhicule (20%)</t>
        </is>
      </c>
      <c r="D148" s="106" t="inlineStr">
        <is>
          <t>Amort.</t>
        </is>
      </c>
      <c r="E148" s="107" t="inlineStr">
        <is>
          <t>6800</t>
        </is>
      </c>
      <c r="F148" s="107" t="inlineStr">
        <is>
          <t>1530</t>
        </is>
      </c>
      <c r="G148" s="108" t="n">
        <v>4800</v>
      </c>
      <c r="H148" s="107" t="inlineStr">
        <is>
          <t>E</t>
        </is>
      </c>
      <c r="I148" s="109">
        <f>IFERROR(INDEX(TVA_taux,MATCH(H148,TVA_codes,0)),0)</f>
        <v>0</v>
      </c>
      <c r="J148" s="108">
        <f>ROUND(G148*I148,2)</f>
        <v>0</v>
      </c>
      <c r="K148" s="108">
        <f>G148+J148</f>
        <v>4800</v>
      </c>
      <c r="L148" s="107">
        <f>IF(J148=0,"",IF(INDEX(Base,MATCH(E148,Comptes,0))="HT","1176",IF(INDEX(Base,MATCH(F148,Comptes,0))="HT","2200","ERREUR")))</f>
        <v/>
      </c>
    </row>
    <row r="149">
      <c r="A149" s="105" t="n">
        <v>46022</v>
      </c>
      <c r="B149" s="106" t="inlineStr">
        <is>
          <t>2025-148</t>
        </is>
      </c>
      <c r="C149" s="106" t="inlineStr">
        <is>
          <t>Électricité décembre, facture à recevoir (charge à payer)</t>
        </is>
      </c>
      <c r="D149" s="106" t="inlineStr">
        <is>
          <t>Bouclement</t>
        </is>
      </c>
      <c r="E149" s="107" t="inlineStr">
        <is>
          <t>6000</t>
        </is>
      </c>
      <c r="F149" s="107" t="inlineStr">
        <is>
          <t>2300</t>
        </is>
      </c>
      <c r="G149" s="108" t="n">
        <v>450</v>
      </c>
      <c r="H149" s="107" t="inlineStr">
        <is>
          <t>E</t>
        </is>
      </c>
      <c r="I149" s="109">
        <f>IFERROR(INDEX(TVA_taux,MATCH(H149,TVA_codes,0)),0)</f>
        <v>0</v>
      </c>
      <c r="J149" s="108">
        <f>ROUND(G149*I149,2)</f>
        <v>0</v>
      </c>
      <c r="K149" s="108">
        <f>G149+J149</f>
        <v>450</v>
      </c>
      <c r="L149" s="107">
        <f>IF(J149=0,"",IF(INDEX(Base,MATCH(E149,Comptes,0))="HT","1176",IF(INDEX(Base,MATCH(F149,Comptes,0))="HT","2200","ERREUR")))</f>
        <v/>
      </c>
    </row>
    <row r="150">
      <c r="A150" s="105" t="n">
        <v>46022</v>
      </c>
      <c r="B150" s="106" t="inlineStr">
        <is>
          <t>2025-149</t>
        </is>
      </c>
      <c r="C150" s="106" t="inlineStr">
        <is>
          <t>Abonnement informatique 2026 payé en décembre (charge payée d'avance)</t>
        </is>
      </c>
      <c r="D150" s="106" t="inlineStr">
        <is>
          <t>Bouclement</t>
        </is>
      </c>
      <c r="E150" s="107" t="inlineStr">
        <is>
          <t>1300</t>
        </is>
      </c>
      <c r="F150" s="107" t="inlineStr">
        <is>
          <t>6570</t>
        </is>
      </c>
      <c r="G150" s="108" t="n">
        <v>240</v>
      </c>
      <c r="H150" s="107" t="inlineStr">
        <is>
          <t>E</t>
        </is>
      </c>
      <c r="I150" s="109">
        <f>IFERROR(INDEX(TVA_taux,MATCH(H150,TVA_codes,0)),0)</f>
        <v>0</v>
      </c>
      <c r="J150" s="108">
        <f>ROUND(G150*I150,2)</f>
        <v>0</v>
      </c>
      <c r="K150" s="108">
        <f>G150+J150</f>
        <v>240</v>
      </c>
      <c r="L150" s="107">
        <f>IF(J150=0,"",IF(INDEX(Base,MATCH(E150,Comptes,0))="HT","1176",IF(INDEX(Base,MATCH(F150,Comptes,0))="HT","2200","ERREUR")))</f>
        <v/>
      </c>
    </row>
    <row r="151">
      <c r="A151" s="105" t="n">
        <v>46022</v>
      </c>
      <c r="B151" s="106" t="inlineStr">
        <is>
          <t>2025-150</t>
        </is>
      </c>
      <c r="C151" s="106" t="inlineStr">
        <is>
          <t>Décompte TVA T4 — compensation impôt préalable (payable en février 2026)</t>
        </is>
      </c>
      <c r="D151" s="106" t="inlineStr">
        <is>
          <t>Bouclement</t>
        </is>
      </c>
      <c r="E151" s="107" t="inlineStr">
        <is>
          <t>2200</t>
        </is>
      </c>
      <c r="F151" s="107" t="inlineStr">
        <is>
          <t>1176</t>
        </is>
      </c>
      <c r="G151" s="108" t="n">
        <v>1322.73</v>
      </c>
      <c r="H151" s="107" t="inlineStr">
        <is>
          <t>E</t>
        </is>
      </c>
      <c r="I151" s="109">
        <f>IFERROR(INDEX(TVA_taux,MATCH(H151,TVA_codes,0)),0)</f>
        <v>0</v>
      </c>
      <c r="J151" s="108">
        <f>ROUND(G151*I151,2)</f>
        <v>0</v>
      </c>
      <c r="K151" s="108">
        <f>G151+J151</f>
        <v>1322.73</v>
      </c>
      <c r="L151" s="107">
        <f>IF(J151=0,"",IF(INDEX(Base,MATCH(E151,Comptes,0))="HT","1176",IF(INDEX(Base,MATCH(F151,Comptes,0))="HT","2200","ERREUR")))</f>
        <v/>
      </c>
    </row>
    <row r="152">
      <c r="A152" s="105" t="n">
        <v>46022</v>
      </c>
      <c r="B152" s="106" t="inlineStr">
        <is>
          <t>2025-151</t>
        </is>
      </c>
      <c r="C152" s="106" t="inlineStr">
        <is>
          <t>Provision pour impôts directs 2025 (IFD + cantonal/communal, feuille Impôts)</t>
        </is>
      </c>
      <c r="D152" s="106" t="inlineStr">
        <is>
          <t>Bouclement</t>
        </is>
      </c>
      <c r="E152" s="107" t="inlineStr">
        <is>
          <t>8900</t>
        </is>
      </c>
      <c r="F152" s="107" t="inlineStr">
        <is>
          <t>2330</t>
        </is>
      </c>
      <c r="G152" s="108" t="n">
        <v>1922.9</v>
      </c>
      <c r="H152" s="107" t="inlineStr">
        <is>
          <t>E</t>
        </is>
      </c>
      <c r="I152" s="109">
        <f>IFERROR(INDEX(TVA_taux,MATCH(H152,TVA_codes,0)),0)</f>
        <v>0</v>
      </c>
      <c r="J152" s="108">
        <f>ROUND(G152*I152,2)</f>
        <v>0</v>
      </c>
      <c r="K152" s="108">
        <f>G152+J152</f>
        <v>1922.9</v>
      </c>
      <c r="L152" s="107">
        <f>IF(J152=0,"",IF(INDEX(Base,MATCH(E152,Comptes,0))="HT","1176",IF(INDEX(Base,MATCH(F152,Comptes,0))="HT","2200","ERREUR")))</f>
        <v/>
      </c>
    </row>
  </sheetData>
  <conditionalFormatting sqref="G2:G152">
    <cfRule type="dataBar" priority="1">
      <dataBar>
        <cfvo type="min" val="0"/>
        <cfvo type="max" val="0"/>
        <color rgb="FF93C5FD"/>
      </dataBar>
    </cfRule>
  </conditionalFormatting>
  <dataValidations count="2">
    <dataValidation sqref="E2:F152" showDropDown="0" showInputMessage="0" showErrorMessage="0" allowBlank="1" type="list">
      <formula1>Comptes</formula1>
    </dataValidation>
    <dataValidation sqref="H2:H152" showDropDown="0" showInputMessage="0" showErrorMessage="0" allowBlank="1" type="list">
      <formula1>TVA_codes</formula1>
    </dataValidation>
  </dataValidations>
  <hyperlinks>
    <hyperlink ref="N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H17"/>
  <sheetViews>
    <sheetView showGridLines="0" zoomScale="100" workbookViewId="0">
      <selection activeCell="A1" sqref="A1"/>
    </sheetView>
  </sheetViews>
  <sheetFormatPr baseColWidth="8" defaultRowHeight="15"/>
  <cols>
    <col width="20.7" customWidth="1" min="1" max="1"/>
    <col width="22.7109375" customWidth="1" min="2" max="2"/>
    <col width="3.7109375" customWidth="1" min="3" max="3"/>
    <col width="20.7" customWidth="1" min="4" max="4"/>
    <col width="22.7109375" customWidth="1" min="5" max="5"/>
    <col width="13" customWidth="1" min="7" max="7"/>
  </cols>
  <sheetData>
    <row r="1" ht="27" customHeight="1">
      <c r="A1" s="110" t="inlineStr">
        <is>
          <t>Formulaires de saisie</t>
        </is>
      </c>
      <c r="G1" s="76" t="inlineStr">
        <is>
          <t>← Sommaire</t>
        </is>
      </c>
    </row>
    <row r="2" ht="42" customHeight="1">
      <c r="A2" s="111" t="inlineStr">
        <is>
          <t>Formulaires de saisie structurée. La version complète de ce classeur (.xlsm) ajoute les lignes au journal et au registre des immobilisations via deux macros VBA déjà développées ; elles sont retirées de cette version .xlsx pour que le fichier s'ouvre sans avertissement de sécurité sur n'importe quel poste.</t>
        </is>
      </c>
    </row>
    <row r="3"/>
    <row r="4">
      <c r="A4" s="112" t="inlineStr">
        <is>
          <t>➕ Nouvelle écriture au journal</t>
        </is>
      </c>
      <c r="D4" s="112" t="inlineStr">
        <is>
          <t>➕ Nouvelle immobilisation</t>
        </is>
      </c>
    </row>
    <row r="5"/>
    <row r="6">
      <c r="A6" s="96" t="inlineStr">
        <is>
          <t>Date</t>
        </is>
      </c>
      <c r="B6" s="113" t="n"/>
      <c r="D6" s="96" t="inlineStr">
        <is>
          <t>Désignation</t>
        </is>
      </c>
      <c r="E6" s="113" t="n"/>
    </row>
    <row r="7">
      <c r="A7" s="96" t="inlineStr">
        <is>
          <t>Pièce</t>
        </is>
      </c>
      <c r="B7" s="113" t="n"/>
      <c r="D7" s="96" t="inlineStr">
        <is>
          <t>Compte</t>
        </is>
      </c>
      <c r="E7" s="113" t="n"/>
    </row>
    <row r="8">
      <c r="A8" s="96" t="inlineStr">
        <is>
          <t>Libellé</t>
        </is>
      </c>
      <c r="B8" s="113" t="n"/>
      <c r="D8" s="96" t="inlineStr">
        <is>
          <t>Date d'acquisition</t>
        </is>
      </c>
      <c r="E8" s="113" t="n"/>
    </row>
    <row r="9">
      <c r="A9" s="96" t="inlineStr">
        <is>
          <t>Nature</t>
        </is>
      </c>
      <c r="B9" s="113" t="n"/>
      <c r="D9" s="96" t="inlineStr">
        <is>
          <t>Valeur d'acq.</t>
        </is>
      </c>
      <c r="E9" s="113" t="n"/>
    </row>
    <row r="10">
      <c r="A10" s="96" t="inlineStr">
        <is>
          <t>Compte débit</t>
        </is>
      </c>
      <c r="B10" s="113" t="n"/>
      <c r="D10" s="96" t="inlineStr">
        <is>
          <t>Taux (ex. 0.2)</t>
        </is>
      </c>
      <c r="E10" s="113" t="n"/>
    </row>
    <row r="11">
      <c r="A11" s="96" t="inlineStr">
        <is>
          <t>Compte crédit</t>
        </is>
      </c>
      <c r="B11" s="113" t="n"/>
    </row>
    <row r="12">
      <c r="A12" s="96" t="inlineStr">
        <is>
          <t>Montant HT</t>
        </is>
      </c>
      <c r="B12" s="113" t="n"/>
      <c r="D12" s="114" t="inlineStr">
        <is>
          <t>→ Macro AjouterImmobilisation (version .xlsm)</t>
        </is>
      </c>
    </row>
    <row r="13">
      <c r="A13" s="96" t="inlineStr">
        <is>
          <t>Code TVA</t>
        </is>
      </c>
      <c r="B13" s="113" t="n"/>
    </row>
    <row r="14"/>
    <row r="15">
      <c r="A15" s="114" t="inlineStr">
        <is>
          <t>→ Macro AjouterEcriture (version .xlsm)</t>
        </is>
      </c>
    </row>
    <row r="16"/>
    <row r="17">
      <c r="A17" s="115" t="inlineStr">
        <is>
          <t>Le « = » des libellés est du texte (pas une formule). Données fictives.</t>
        </is>
      </c>
    </row>
  </sheetData>
  <mergeCells count="1">
    <mergeCell ref="A2:E2"/>
  </mergeCells>
  <dataValidations count="5">
    <dataValidation sqref="B9" showDropDown="0" showInputMessage="1" showErrorMessage="1" allowBlank="1" type="list">
      <formula1>"Ouverture,Investissement,Vente,Achat,Charge,Salaire,Amort.,Règlement"</formula1>
    </dataValidation>
    <dataValidation sqref="B10" showDropDown="0" showInputMessage="1" showErrorMessage="1" allowBlank="1" type="list">
      <formula1>Comptes</formula1>
    </dataValidation>
    <dataValidation sqref="B11" showDropDown="0" showInputMessage="1" showErrorMessage="1" allowBlank="1" type="list">
      <formula1>Comptes</formula1>
    </dataValidation>
    <dataValidation sqref="B13" showDropDown="0" showInputMessage="1" showErrorMessage="1" allowBlank="1" type="list">
      <formula1>TVA_codes</formula1>
    </dataValidation>
    <dataValidation sqref="E7" showDropDown="0" showInputMessage="1" showErrorMessage="1" allowBlank="1" type="list">
      <formula1>Comptes</formula1>
    </dataValidation>
  </dataValidations>
  <hyperlinks>
    <hyperlink ref="G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H14"/>
  <sheetViews>
    <sheetView showGridLines="0" zoomScale="100" workbookViewId="0">
      <selection activeCell="A1" sqref="A1"/>
    </sheetView>
  </sheetViews>
  <sheetFormatPr baseColWidth="8" defaultRowHeight="15"/>
  <cols>
    <col width="16.9" customWidth="1" min="1" max="1"/>
    <col width="34.7" customWidth="1" min="2" max="2"/>
    <col width="16" customWidth="1" min="3" max="3"/>
    <col width="13" customWidth="1" min="4" max="4"/>
    <col width="13" customWidth="1" min="5" max="5"/>
    <col width="13" customWidth="1" min="7" max="7"/>
  </cols>
  <sheetData>
    <row r="1" ht="26" customHeight="1">
      <c r="A1" s="93" t="inlineStr">
        <is>
          <t>Grand livre interactif</t>
        </is>
      </c>
      <c r="G1" s="76" t="inlineStr">
        <is>
          <t>← Sommaire</t>
        </is>
      </c>
    </row>
    <row r="2">
      <c r="A2" s="116" t="inlineStr">
        <is>
          <t>Choisissez un compte : solde et écritures se mettent à jour.</t>
        </is>
      </c>
    </row>
    <row r="3"/>
    <row r="4">
      <c r="A4" s="117" t="inlineStr">
        <is>
          <t>Compte :</t>
        </is>
      </c>
      <c r="B4" s="118" t="inlineStr">
        <is>
          <t>1020</t>
        </is>
      </c>
      <c r="C4" s="114" t="str">
        <f>IFERROR(INDEX(Libelles,MATCH(B4,Comptes,0)),"")</f>
        <v>Banque</v>
      </c>
    </row>
    <row r="5"/>
    <row r="6"/>
    <row r="7">
      <c r="A7" s="94" t="inlineStr">
        <is>
          <t>Total débit</t>
        </is>
      </c>
      <c r="B7" s="94" t="inlineStr">
        <is>
          <t>Total crédit</t>
        </is>
      </c>
      <c r="C7" s="94" t="inlineStr">
        <is>
          <t>Solde</t>
        </is>
      </c>
      <c r="D7" s="94" t="inlineStr">
        <is>
          <t>Nb écritures</t>
        </is>
      </c>
    </row>
    <row r="8">
      <c r="A8" s="119">
        <f>IF(INDEX(Base,MATCH($B$4,Comptes,0))="HT",SUMIF(tblJournal[Débit],$B$4,tblJournal[Montant HT]),SUMIF(tblJournal[Débit],$B$4,tblJournal[Montant TTC]))+IF($B$4="1176",SUMIF(tblJournal[Cpte TVA],$B$4,tblJournal[TVA CHF]),0)</f>
        <v>331983.95</v>
      </c>
      <c r="B8" s="119">
        <f>IF(INDEX(Base,MATCH($B$4,Comptes,0))="HT",SUMIF(tblJournal[Crédit],$B$4,tblJournal[Montant HT]),SUMIF(tblJournal[Crédit],$B$4,tblJournal[Montant TTC]))+IF($B$4="2200",SUMIF(tblJournal[Cpte TVA],$B$4,tblJournal[TVA CHF]),0)</f>
        <v>258301.83</v>
      </c>
      <c r="C8" s="119">
        <f>A8-B8</f>
        <v>73682.12</v>
      </c>
      <c r="D8" s="95">
        <f>COUNTIF(tblJournal[Débit],$B$4)+COUNTIF(tblJournal[Crédit],$B$4)</f>
        <v>81</v>
      </c>
    </row>
    <row r="9"/>
    <row r="10">
      <c r="A10" s="120" t="inlineStr">
        <is>
          <t>Écritures du compte (Excel 365 — FILTER) :</t>
        </is>
      </c>
    </row>
    <row r="11">
      <c r="A11" s="94" t="inlineStr">
        <is>
          <t>Date</t>
        </is>
      </c>
      <c r="B11" s="94" t="inlineStr">
        <is>
          <t>Libellé</t>
        </is>
      </c>
      <c r="C11" s="94" t="inlineStr">
        <is>
          <t>Débit</t>
        </is>
      </c>
      <c r="D11" s="94" t="inlineStr">
        <is>
          <t>Crédit</t>
        </is>
      </c>
      <c r="E11" s="94" t="inlineStr">
        <is>
          <t>Montant HT</t>
        </is>
      </c>
    </row>
    <row r="12">
      <c r="A12" s="106" cm="1" t="str">
        <f t="array" ref="A12:E12">IFERROR(_xlfn._xlws.FILTER(CHOOSE({1,2,3,4,5},tblJournal[Date],tblJournal[Libellé],tblJournal[Débit],tblJournal[Crédit],tblJournal[Montant HT]),(tblJournal[Débit]=$B$4)+(tblJournal[Crédit]=$B$4)),"—")</f>
        <v>—</v>
      </c>
      <c r="B12" s="106" t="n">
        <v>0</v>
      </c>
      <c r="C12" s="106" t="n">
        <v>0</v>
      </c>
      <c r="D12" s="106" t="n">
        <v>0</v>
      </c>
      <c r="E12" s="106" t="n">
        <v>0</v>
      </c>
    </row>
    <row r="13"/>
    <row r="14">
      <c r="A14" s="103" t="inlineStr">
        <is>
          <t>Les lignes listées montrent le montant HT saisi ; la colonne « Cpte TVA » du journal indique où va la TVA de chaque ligne.</t>
        </is>
      </c>
    </row>
  </sheetData>
  <dataValidations count="1">
    <dataValidation sqref="B4" showDropDown="0" showInputMessage="1" showErrorMessage="1" allowBlank="1" type="list">
      <formula1>Comptes</formula1>
    </dataValidation>
  </dataValidations>
  <hyperlinks>
    <hyperlink ref="G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J39"/>
  <sheetViews>
    <sheetView showGridLines="0" zoomScale="10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0.7" customWidth="1" min="1" max="1"/>
    <col width="34.7" customWidth="1" min="2" max="2"/>
    <col width="17.1" customWidth="1" min="3" max="3"/>
    <col width="17.1" customWidth="1" min="4" max="4"/>
    <col width="17.7" customWidth="1" min="5" max="5"/>
    <col width="13" customWidth="1" min="9" max="9"/>
  </cols>
  <sheetData>
    <row r="1" ht="26" customHeight="1">
      <c r="A1" s="93" t="inlineStr">
        <is>
          <t>Balance de vérification — Atelier Léman Sàrl · 2025</t>
        </is>
      </c>
      <c r="I1" s="76" t="inlineStr">
        <is>
          <t>← Sommaire</t>
        </is>
      </c>
    </row>
    <row r="2"/>
    <row r="3">
      <c r="A3" s="94" t="inlineStr">
        <is>
          <t>Compte</t>
        </is>
      </c>
      <c r="B3" s="94" t="inlineStr">
        <is>
          <t>Libellé</t>
        </is>
      </c>
      <c r="C3" s="94" t="inlineStr">
        <is>
          <t>Total débit</t>
        </is>
      </c>
      <c r="D3" s="94" t="inlineStr">
        <is>
          <t>Total crédit</t>
        </is>
      </c>
      <c r="E3" s="94" t="inlineStr">
        <is>
          <t>Solde</t>
        </is>
      </c>
    </row>
    <row r="4">
      <c r="A4" s="95" t="inlineStr">
        <is>
          <t>1000</t>
        </is>
      </c>
      <c r="B4" s="96" t="inlineStr">
        <is>
          <t>Caisse</t>
        </is>
      </c>
      <c r="C4" s="119">
        <f>IF(INDEX(Base,MATCH(A4,Comptes,0))="HT",SUMIF(tblJournal[Débit],A4,tblJournal[Montant HT]),SUMIF(tblJournal[Débit],A4,tblJournal[Montant TTC]))+IF(A4="1176",SUMIF(tblJournal[Cpte TVA],A4,tblJournal[TVA CHF]),0)</f>
        <v>0</v>
      </c>
      <c r="D4" s="119">
        <f>IF(INDEX(Base,MATCH(A4,Comptes,0))="HT",SUMIF(tblJournal[Crédit],A4,tblJournal[Montant HT]),SUMIF(tblJournal[Crédit],A4,tblJournal[Montant TTC]))+IF(A4="2200",SUMIF(tblJournal[Cpte TVA],A4,tblJournal[TVA CHF]),0)</f>
        <v>0</v>
      </c>
      <c r="E4" s="119">
        <f>C4-D4</f>
        <v>0</v>
      </c>
    </row>
    <row r="5">
      <c r="A5" s="95" t="inlineStr">
        <is>
          <t>1020</t>
        </is>
      </c>
      <c r="B5" s="96" t="inlineStr">
        <is>
          <t>Banque</t>
        </is>
      </c>
      <c r="C5" s="119">
        <f>IF(INDEX(Base,MATCH(A5,Comptes,0))="HT",SUMIF(tblJournal[Débit],A5,tblJournal[Montant HT]),SUMIF(tblJournal[Débit],A5,tblJournal[Montant TTC]))+IF(A5="1176",SUMIF(tblJournal[Cpte TVA],A5,tblJournal[TVA CHF]),0)</f>
        <v>331983.95</v>
      </c>
      <c r="D5" s="119">
        <f>IF(INDEX(Base,MATCH(A5,Comptes,0))="HT",SUMIF(tblJournal[Crédit],A5,tblJournal[Montant HT]),SUMIF(tblJournal[Crédit],A5,tblJournal[Montant TTC]))+IF(A5="2200",SUMIF(tblJournal[Cpte TVA],A5,tblJournal[TVA CHF]),0)</f>
        <v>258301.83</v>
      </c>
      <c r="E5" s="119">
        <f>C5-D5</f>
        <v>73682.12</v>
      </c>
    </row>
    <row r="6">
      <c r="A6" s="95" t="inlineStr">
        <is>
          <t>1100</t>
        </is>
      </c>
      <c r="B6" s="96" t="inlineStr">
        <is>
          <t>Créances clients (débiteurs)</t>
        </is>
      </c>
      <c r="C6" s="119">
        <f>IF(INDEX(Base,MATCH(A6,Comptes,0))="HT",SUMIF(tblJournal[Débit],A6,tblJournal[Montant HT]),SUMIF(tblJournal[Débit],A6,tblJournal[Montant TTC]))+IF(A6="1176",SUMIF(tblJournal[Cpte TVA],A6,tblJournal[TVA CHF]),0)</f>
        <v>231334</v>
      </c>
      <c r="D6" s="119">
        <f>IF(INDEX(Base,MATCH(A6,Comptes,0))="HT",SUMIF(tblJournal[Crédit],A6,tblJournal[Montant HT]),SUMIF(tblJournal[Crédit],A6,tblJournal[Montant TTC]))+IF(A6="2200",SUMIF(tblJournal[Cpte TVA],A6,tblJournal[TVA CHF]),0)</f>
        <v>199234</v>
      </c>
      <c r="E6" s="119">
        <f>C6-D6</f>
        <v>32100</v>
      </c>
    </row>
    <row r="7">
      <c r="A7" s="95" t="inlineStr">
        <is>
          <t>1176</t>
        </is>
      </c>
      <c r="B7" s="96" t="inlineStr">
        <is>
          <t>TVA – impôt préalable</t>
        </is>
      </c>
      <c r="C7" s="119">
        <f>IF(INDEX(Base,MATCH(A7,Comptes,0))="HT",SUMIF(tblJournal[Débit],A7,tblJournal[Montant HT]),SUMIF(tblJournal[Débit],A7,tblJournal[Montant TTC]))+IF(A7="1176",SUMIF(tblJournal[Cpte TVA],A7,tblJournal[TVA CHF]),0)</f>
        <v>9687.6</v>
      </c>
      <c r="D7" s="119">
        <f>IF(INDEX(Base,MATCH(A7,Comptes,0))="HT",SUMIF(tblJournal[Crédit],A7,tblJournal[Montant HT]),SUMIF(tblJournal[Crédit],A7,tblJournal[Montant TTC]))+IF(A7="2200",SUMIF(tblJournal[Cpte TVA],A7,tblJournal[TVA CHF]),0)</f>
        <v>9687.6</v>
      </c>
      <c r="E7" s="119">
        <f>C7-D7</f>
        <v>0</v>
      </c>
    </row>
    <row r="8">
      <c r="A8" s="95" t="inlineStr">
        <is>
          <t>1200</t>
        </is>
      </c>
      <c r="B8" s="96" t="inlineStr">
        <is>
          <t>Stock de marchandises</t>
        </is>
      </c>
      <c r="C8" s="119">
        <f>IF(INDEX(Base,MATCH(A8,Comptes,0))="HT",SUMIF(tblJournal[Débit],A8,tblJournal[Montant HT]),SUMIF(tblJournal[Débit],A8,tblJournal[Montant TTC]))+IF(A8="1176",SUMIF(tblJournal[Cpte TVA],A8,tblJournal[TVA CHF]),0)</f>
        <v>5000</v>
      </c>
      <c r="D8" s="119">
        <f>IF(INDEX(Base,MATCH(A8,Comptes,0))="HT",SUMIF(tblJournal[Crédit],A8,tblJournal[Montant HT]),SUMIF(tblJournal[Crédit],A8,tblJournal[Montant TTC]))+IF(A8="2200",SUMIF(tblJournal[Cpte TVA],A8,tblJournal[TVA CHF]),0)</f>
        <v>0</v>
      </c>
      <c r="E8" s="119">
        <f>C8-D8</f>
        <v>5000</v>
      </c>
    </row>
    <row r="9">
      <c r="A9" s="95" t="inlineStr">
        <is>
          <t>1300</t>
        </is>
      </c>
      <c r="B9" s="96" t="inlineStr">
        <is>
          <t>Actifs de régularisation</t>
        </is>
      </c>
      <c r="C9" s="119">
        <f>IF(INDEX(Base,MATCH(A9,Comptes,0))="HT",SUMIF(tblJournal[Débit],A9,tblJournal[Montant HT]),SUMIF(tblJournal[Débit],A9,tblJournal[Montant TTC]))+IF(A9="1176",SUMIF(tblJournal[Cpte TVA],A9,tblJournal[TVA CHF]),0)</f>
        <v>240</v>
      </c>
      <c r="D9" s="119">
        <f>IF(INDEX(Base,MATCH(A9,Comptes,0))="HT",SUMIF(tblJournal[Crédit],A9,tblJournal[Montant HT]),SUMIF(tblJournal[Crédit],A9,tblJournal[Montant TTC]))+IF(A9="2200",SUMIF(tblJournal[Cpte TVA],A9,tblJournal[TVA CHF]),0)</f>
        <v>0</v>
      </c>
      <c r="E9" s="119">
        <f>C9-D9</f>
        <v>240</v>
      </c>
    </row>
    <row r="10">
      <c r="A10" s="95" t="inlineStr">
        <is>
          <t>1500</t>
        </is>
      </c>
      <c r="B10" s="96" t="inlineStr">
        <is>
          <t>Machines &amp; équipements</t>
        </is>
      </c>
      <c r="C10" s="119">
        <f>IF(INDEX(Base,MATCH(A10,Comptes,0))="HT",SUMIF(tblJournal[Débit],A10,tblJournal[Montant HT]),SUMIF(tblJournal[Débit],A10,tblJournal[Montant TTC]))+IF(A10="1176",SUMIF(tblJournal[Cpte TVA],A10,tblJournal[TVA CHF]),0)</f>
        <v>30000</v>
      </c>
      <c r="D10" s="119">
        <f>IF(INDEX(Base,MATCH(A10,Comptes,0))="HT",SUMIF(tblJournal[Crédit],A10,tblJournal[Montant HT]),SUMIF(tblJournal[Crédit],A10,tblJournal[Montant TTC]))+IF(A10="2200",SUMIF(tblJournal[Cpte TVA],A10,tblJournal[TVA CHF]),0)</f>
        <v>6000</v>
      </c>
      <c r="E10" s="119">
        <f>C10-D10</f>
        <v>24000</v>
      </c>
    </row>
    <row r="11">
      <c r="A11" s="95" t="inlineStr">
        <is>
          <t>1510</t>
        </is>
      </c>
      <c r="B11" s="96" t="inlineStr">
        <is>
          <t>Mobilier &amp; installations</t>
        </is>
      </c>
      <c r="C11" s="119">
        <f>IF(INDEX(Base,MATCH(A11,Comptes,0))="HT",SUMIF(tblJournal[Débit],A11,tblJournal[Montant HT]),SUMIF(tblJournal[Débit],A11,tblJournal[Montant TTC]))+IF(A11="1176",SUMIF(tblJournal[Cpte TVA],A11,tblJournal[TVA CHF]),0)</f>
        <v>8000</v>
      </c>
      <c r="D11" s="119">
        <f>IF(INDEX(Base,MATCH(A11,Comptes,0))="HT",SUMIF(tblJournal[Crédit],A11,tblJournal[Montant HT]),SUMIF(tblJournal[Crédit],A11,tblJournal[Montant TTC]))+IF(A11="2200",SUMIF(tblJournal[Cpte TVA],A11,tblJournal[TVA CHF]),0)</f>
        <v>1600</v>
      </c>
      <c r="E11" s="119">
        <f>C11-D11</f>
        <v>6400</v>
      </c>
    </row>
    <row r="12">
      <c r="A12" s="95" t="inlineStr">
        <is>
          <t>1530</t>
        </is>
      </c>
      <c r="B12" s="96" t="inlineStr">
        <is>
          <t>Véhicule utilitaire</t>
        </is>
      </c>
      <c r="C12" s="119">
        <f>IF(INDEX(Base,MATCH(A12,Comptes,0))="HT",SUMIF(tblJournal[Débit],A12,tblJournal[Montant HT]),SUMIF(tblJournal[Débit],A12,tblJournal[Montant TTC]))+IF(A12="1176",SUMIF(tblJournal[Cpte TVA],A12,tblJournal[TVA CHF]),0)</f>
        <v>24000</v>
      </c>
      <c r="D12" s="119">
        <f>IF(INDEX(Base,MATCH(A12,Comptes,0))="HT",SUMIF(tblJournal[Crédit],A12,tblJournal[Montant HT]),SUMIF(tblJournal[Crédit],A12,tblJournal[Montant TTC]))+IF(A12="2200",SUMIF(tblJournal[Cpte TVA],A12,tblJournal[TVA CHF]),0)</f>
        <v>4800</v>
      </c>
      <c r="E12" s="119">
        <f>C12-D12</f>
        <v>19200</v>
      </c>
    </row>
    <row r="13">
      <c r="A13" s="95" t="inlineStr">
        <is>
          <t>2000</t>
        </is>
      </c>
      <c r="B13" s="96" t="inlineStr">
        <is>
          <t>Dettes fournisseurs (créanciers)</t>
        </is>
      </c>
      <c r="C13" s="119">
        <f>IF(INDEX(Base,MATCH(A13,Comptes,0))="HT",SUMIF(tblJournal[Débit],A13,tblJournal[Montant HT]),SUMIF(tblJournal[Débit],A13,tblJournal[Montant TTC]))+IF(A13="1176",SUMIF(tblJournal[Cpte TVA],A13,tblJournal[TVA CHF]),0)</f>
        <v>38675.9</v>
      </c>
      <c r="D13" s="119">
        <f>IF(INDEX(Base,MATCH(A13,Comptes,0))="HT",SUMIF(tblJournal[Crédit],A13,tblJournal[Montant HT]),SUMIF(tblJournal[Crédit],A13,tblJournal[Montant TTC]))+IF(A13="2200",SUMIF(tblJournal[Cpte TVA],A13,tblJournal[TVA CHF]),0)</f>
        <v>47455.9</v>
      </c>
      <c r="E13" s="119">
        <f>C13-D13</f>
        <v>-8780</v>
      </c>
    </row>
    <row r="14">
      <c r="A14" s="95" t="inlineStr">
        <is>
          <t>2200</t>
        </is>
      </c>
      <c r="B14" s="96" t="inlineStr">
        <is>
          <t>TVA due</t>
        </is>
      </c>
      <c r="C14" s="119">
        <f>IF(INDEX(Base,MATCH(A14,Comptes,0))="HT",SUMIF(tblJournal[Débit],A14,tblJournal[Montant HT]),SUMIF(tblJournal[Débit],A14,tblJournal[Montant TTC]))+IF(A14="1176",SUMIF(tblJournal[Cpte TVA],A14,tblJournal[TVA CHF]),0)</f>
        <v>15744.78</v>
      </c>
      <c r="D14" s="119">
        <f>IF(INDEX(Base,MATCH(A14,Comptes,0))="HT",SUMIF(tblJournal[Crédit],A14,tblJournal[Montant HT]),SUMIF(tblJournal[Crédit],A14,tblJournal[Montant TTC]))+IF(A14="2200",SUMIF(tblJournal[Cpte TVA],A14,tblJournal[TVA CHF]),0)</f>
        <v>20083.95</v>
      </c>
      <c r="E14" s="119">
        <f>C14-D14</f>
        <v>-4339.17</v>
      </c>
    </row>
    <row r="15">
      <c r="A15" s="95" t="inlineStr">
        <is>
          <t>2270</t>
        </is>
      </c>
      <c r="B15" s="96" t="inlineStr">
        <is>
          <t>Dettes sociales (AVS, AC, LPP, AF)</t>
        </is>
      </c>
      <c r="C15" s="119">
        <f>IF(INDEX(Base,MATCH(A15,Comptes,0))="HT",SUMIF(tblJournal[Débit],A15,tblJournal[Montant HT]),SUMIF(tblJournal[Débit],A15,tblJournal[Montant TTC]))+IF(A15="1176",SUMIF(tblJournal[Cpte TVA],A15,tblJournal[TVA CHF]),0)</f>
        <v>108337.05</v>
      </c>
      <c r="D15" s="119">
        <f>IF(INDEX(Base,MATCH(A15,Comptes,0))="HT",SUMIF(tblJournal[Crédit],A15,tblJournal[Montant HT]),SUMIF(tblJournal[Crédit],A15,tblJournal[Montant TTC]))+IF(A15="2200",SUMIF(tblJournal[Cpte TVA],A15,tblJournal[TVA CHF]),0)</f>
        <v>113549.02</v>
      </c>
      <c r="E15" s="119">
        <f>C15-D15</f>
        <v>-5211.97</v>
      </c>
    </row>
    <row r="16">
      <c r="A16" s="95" t="inlineStr">
        <is>
          <t>2300</t>
        </is>
      </c>
      <c r="B16" s="96" t="inlineStr">
        <is>
          <t>Passifs de régularisation</t>
        </is>
      </c>
      <c r="C16" s="119">
        <f>IF(INDEX(Base,MATCH(A16,Comptes,0))="HT",SUMIF(tblJournal[Débit],A16,tblJournal[Montant HT]),SUMIF(tblJournal[Débit],A16,tblJournal[Montant TTC]))+IF(A16="1176",SUMIF(tblJournal[Cpte TVA],A16,tblJournal[TVA CHF]),0)</f>
        <v>0</v>
      </c>
      <c r="D16" s="119">
        <f>IF(INDEX(Base,MATCH(A16,Comptes,0))="HT",SUMIF(tblJournal[Crédit],A16,tblJournal[Montant HT]),SUMIF(tblJournal[Crédit],A16,tblJournal[Montant TTC]))+IF(A16="2200",SUMIF(tblJournal[Cpte TVA],A16,tblJournal[TVA CHF]),0)</f>
        <v>450</v>
      </c>
      <c r="E16" s="119">
        <f>C16-D16</f>
        <v>-450</v>
      </c>
    </row>
    <row r="17">
      <c r="A17" s="95" t="inlineStr">
        <is>
          <t>2330</t>
        </is>
      </c>
      <c r="B17" s="96" t="inlineStr">
        <is>
          <t>Provision pour impôts directs</t>
        </is>
      </c>
      <c r="C17" s="119">
        <f>IF(INDEX(Base,MATCH(A17,Comptes,0))="HT",SUMIF(tblJournal[Débit],A17,tblJournal[Montant HT]),SUMIF(tblJournal[Débit],A17,tblJournal[Montant TTC]))+IF(A17="1176",SUMIF(tblJournal[Cpte TVA],A17,tblJournal[TVA CHF]),0)</f>
        <v>0</v>
      </c>
      <c r="D17" s="119">
        <f>IF(INDEX(Base,MATCH(A17,Comptes,0))="HT",SUMIF(tblJournal[Crédit],A17,tblJournal[Montant HT]),SUMIF(tblJournal[Crédit],A17,tblJournal[Montant TTC]))+IF(A17="2200",SUMIF(tblJournal[Cpte TVA],A17,tblJournal[TVA CHF]),0)</f>
        <v>1922.9</v>
      </c>
      <c r="E17" s="119">
        <f>C17-D17</f>
        <v>-1922.9</v>
      </c>
    </row>
    <row r="18">
      <c r="A18" s="95" t="inlineStr">
        <is>
          <t>2450</t>
        </is>
      </c>
      <c r="B18" s="96" t="inlineStr">
        <is>
          <t>Emprunt bancaire</t>
        </is>
      </c>
      <c r="C18" s="119">
        <f>IF(INDEX(Base,MATCH(A18,Comptes,0))="HT",SUMIF(tblJournal[Débit],A18,tblJournal[Montant HT]),SUMIF(tblJournal[Débit],A18,tblJournal[Montant TTC]))+IF(A18="1176",SUMIF(tblJournal[Cpte TVA],A18,tblJournal[TVA CHF]),0)</f>
        <v>0</v>
      </c>
      <c r="D18" s="119">
        <f>IF(INDEX(Base,MATCH(A18,Comptes,0))="HT",SUMIF(tblJournal[Crédit],A18,tblJournal[Montant HT]),SUMIF(tblJournal[Crédit],A18,tblJournal[Montant TTC]))+IF(A18="2200",SUMIF(tblJournal[Cpte TVA],A18,tblJournal[TVA CHF]),0)</f>
        <v>40000</v>
      </c>
      <c r="E18" s="119">
        <f>C18-D18</f>
        <v>-40000</v>
      </c>
    </row>
    <row r="19">
      <c r="A19" s="95" t="inlineStr">
        <is>
          <t>2800</t>
        </is>
      </c>
      <c r="B19" s="96" t="inlineStr">
        <is>
          <t>Capital social</t>
        </is>
      </c>
      <c r="C19" s="119">
        <f>IF(INDEX(Base,MATCH(A19,Comptes,0))="HT",SUMIF(tblJournal[Débit],A19,tblJournal[Montant HT]),SUMIF(tblJournal[Débit],A19,tblJournal[Montant TTC]))+IF(A19="1176",SUMIF(tblJournal[Cpte TVA],A19,tblJournal[TVA CHF]),0)</f>
        <v>0</v>
      </c>
      <c r="D19" s="119">
        <f>IF(INDEX(Base,MATCH(A19,Comptes,0))="HT",SUMIF(tblJournal[Crédit],A19,tblJournal[Montant HT]),SUMIF(tblJournal[Crédit],A19,tblJournal[Montant TTC]))+IF(A19="2200",SUMIF(tblJournal[Cpte TVA],A19,tblJournal[TVA CHF]),0)</f>
        <v>90000</v>
      </c>
      <c r="E19" s="119">
        <f>C19-D19</f>
        <v>-90000</v>
      </c>
    </row>
    <row r="20">
      <c r="A20" s="95" t="inlineStr">
        <is>
          <t>2979</t>
        </is>
      </c>
      <c r="B20" s="96" t="inlineStr">
        <is>
          <t>Bénéfice reporté</t>
        </is>
      </c>
      <c r="C20" s="119">
        <f>IF(INDEX(Base,MATCH(A20,Comptes,0))="HT",SUMIF(tblJournal[Débit],A20,tblJournal[Montant HT]),SUMIF(tblJournal[Débit],A20,tblJournal[Montant TTC]))+IF(A20="1176",SUMIF(tblJournal[Cpte TVA],A20,tblJournal[TVA CHF]),0)</f>
        <v>0</v>
      </c>
      <c r="D20" s="119">
        <f>IF(INDEX(Base,MATCH(A20,Comptes,0))="HT",SUMIF(tblJournal[Crédit],A20,tblJournal[Montant HT]),SUMIF(tblJournal[Crédit],A20,tblJournal[Montant TTC]))+IF(A20="2200",SUMIF(tblJournal[Cpte TVA],A20,tblJournal[TVA CHF]),0)</f>
        <v>0</v>
      </c>
      <c r="E20" s="119">
        <f>C20-D20</f>
        <v>0</v>
      </c>
    </row>
    <row r="21">
      <c r="A21" s="95" t="inlineStr">
        <is>
          <t>3000</t>
        </is>
      </c>
      <c r="B21" s="96" t="inlineStr">
        <is>
          <t>Prestations de services</t>
        </is>
      </c>
      <c r="C21" s="119">
        <f>IF(INDEX(Base,MATCH(A21,Comptes,0))="HT",SUMIF(tblJournal[Débit],A21,tblJournal[Montant HT]),SUMIF(tblJournal[Débit],A21,tblJournal[Montant TTC]))+IF(A21="1176",SUMIF(tblJournal[Cpte TVA],A21,tblJournal[TVA CHF]),0)</f>
        <v>0</v>
      </c>
      <c r="D21" s="119">
        <f>IF(INDEX(Base,MATCH(A21,Comptes,0))="HT",SUMIF(tblJournal[Crédit],A21,tblJournal[Montant HT]),SUMIF(tblJournal[Crédit],A21,tblJournal[Montant TTC]))+IF(A21="2200",SUMIF(tblJournal[Cpte TVA],A21,tblJournal[TVA CHF]),0)</f>
        <v>153600</v>
      </c>
      <c r="E21" s="119">
        <f>C21-D21</f>
        <v>-153600</v>
      </c>
    </row>
    <row r="22">
      <c r="A22" s="95" t="inlineStr">
        <is>
          <t>3200</t>
        </is>
      </c>
      <c r="B22" s="96" t="inlineStr">
        <is>
          <t>Ventes de marchandises</t>
        </is>
      </c>
      <c r="C22" s="119">
        <f>IF(INDEX(Base,MATCH(A22,Comptes,0))="HT",SUMIF(tblJournal[Débit],A22,tblJournal[Montant HT]),SUMIF(tblJournal[Débit],A22,tblJournal[Montant TTC]))+IF(A22="1176",SUMIF(tblJournal[Cpte TVA],A22,tblJournal[TVA CHF]),0)</f>
        <v>0</v>
      </c>
      <c r="D22" s="119">
        <f>IF(INDEX(Base,MATCH(A22,Comptes,0))="HT",SUMIF(tblJournal[Crédit],A22,tblJournal[Montant HT]),SUMIF(tblJournal[Crédit],A22,tblJournal[Montant TTC]))+IF(A22="2200",SUMIF(tblJournal[Cpte TVA],A22,tblJournal[TVA CHF]),0)</f>
        <v>60400</v>
      </c>
      <c r="E22" s="119">
        <f>C22-D22</f>
        <v>-60400</v>
      </c>
    </row>
    <row r="23">
      <c r="A23" s="95" t="inlineStr">
        <is>
          <t>4000</t>
        </is>
      </c>
      <c r="B23" s="96" t="inlineStr">
        <is>
          <t>Achats de marchandises</t>
        </is>
      </c>
      <c r="C23" s="119">
        <f>IF(INDEX(Base,MATCH(A23,Comptes,0))="HT",SUMIF(tblJournal[Débit],A23,tblJournal[Montant HT]),SUMIF(tblJournal[Débit],A23,tblJournal[Montant TTC]))+IF(A23="1176",SUMIF(tblJournal[Cpte TVA],A23,tblJournal[TVA CHF]),0)</f>
        <v>43900</v>
      </c>
      <c r="D23" s="119">
        <f>IF(INDEX(Base,MATCH(A23,Comptes,0))="HT",SUMIF(tblJournal[Crédit],A23,tblJournal[Montant HT]),SUMIF(tblJournal[Crédit],A23,tblJournal[Montant TTC]))+IF(A23="2200",SUMIF(tblJournal[Cpte TVA],A23,tblJournal[TVA CHF]),0)</f>
        <v>0</v>
      </c>
      <c r="E23" s="119">
        <f>C23-D23</f>
        <v>43900</v>
      </c>
    </row>
    <row r="24">
      <c r="A24" s="95" t="inlineStr">
        <is>
          <t>5000</t>
        </is>
      </c>
      <c r="B24" s="96" t="inlineStr">
        <is>
          <t>Salaires</t>
        </is>
      </c>
      <c r="C24" s="119">
        <f>IF(INDEX(Base,MATCH(A24,Comptes,0))="HT",SUMIF(tblJournal[Débit],A24,tblJournal[Montant HT]),SUMIF(tblJournal[Débit],A24,tblJournal[Montant TTC]))+IF(A24="1176",SUMIF(tblJournal[Cpte TVA],A24,tblJournal[TVA CHF]),0)</f>
        <v>102000</v>
      </c>
      <c r="D24" s="119">
        <f>IF(INDEX(Base,MATCH(A24,Comptes,0))="HT",SUMIF(tblJournal[Crédit],A24,tblJournal[Montant HT]),SUMIF(tblJournal[Crédit],A24,tblJournal[Montant TTC]))+IF(A24="2200",SUMIF(tblJournal[Cpte TVA],A24,tblJournal[TVA CHF]),0)</f>
        <v>0</v>
      </c>
      <c r="E24" s="119">
        <f>C24-D24</f>
        <v>102000</v>
      </c>
    </row>
    <row r="25">
      <c r="A25" s="95" t="inlineStr">
        <is>
          <t>5700</t>
        </is>
      </c>
      <c r="B25" s="96" t="inlineStr">
        <is>
          <t>Charges sociales</t>
        </is>
      </c>
      <c r="C25" s="119">
        <f>IF(INDEX(Base,MATCH(A25,Comptes,0))="HT",SUMIF(tblJournal[Débit],A25,tblJournal[Montant HT]),SUMIF(tblJournal[Débit],A25,tblJournal[Montant TTC]))+IF(A25="1176",SUMIF(tblJournal[Cpte TVA],A25,tblJournal[TVA CHF]),0)</f>
        <v>11549.02</v>
      </c>
      <c r="D25" s="119">
        <f>IF(INDEX(Base,MATCH(A25,Comptes,0))="HT",SUMIF(tblJournal[Crédit],A25,tblJournal[Montant HT]),SUMIF(tblJournal[Crédit],A25,tblJournal[Montant TTC]))+IF(A25="2200",SUMIF(tblJournal[Cpte TVA],A25,tblJournal[TVA CHF]),0)</f>
        <v>0</v>
      </c>
      <c r="E25" s="119">
        <f>C25-D25</f>
        <v>11549.02</v>
      </c>
    </row>
    <row r="26">
      <c r="A26" s="95" t="inlineStr">
        <is>
          <t>6000</t>
        </is>
      </c>
      <c r="B26" s="96" t="inlineStr">
        <is>
          <t>Loyer &amp; charges</t>
        </is>
      </c>
      <c r="C26" s="119">
        <f>IF(INDEX(Base,MATCH(A26,Comptes,0))="HT",SUMIF(tblJournal[Débit],A26,tblJournal[Montant HT]),SUMIF(tblJournal[Débit],A26,tblJournal[Montant TTC]))+IF(A26="1176",SUMIF(tblJournal[Cpte TVA],A26,tblJournal[TVA CHF]),0)</f>
        <v>22050</v>
      </c>
      <c r="D26" s="119">
        <f>IF(INDEX(Base,MATCH(A26,Comptes,0))="HT",SUMIF(tblJournal[Crédit],A26,tblJournal[Montant HT]),SUMIF(tblJournal[Crédit],A26,tblJournal[Montant TTC]))+IF(A26="2200",SUMIF(tblJournal[Cpte TVA],A26,tblJournal[TVA CHF]),0)</f>
        <v>0</v>
      </c>
      <c r="E26" s="119">
        <f>C26-D26</f>
        <v>22050</v>
      </c>
    </row>
    <row r="27">
      <c r="A27" s="95" t="inlineStr">
        <is>
          <t>6500</t>
        </is>
      </c>
      <c r="B27" s="96" t="inlineStr">
        <is>
          <t>Administration</t>
        </is>
      </c>
      <c r="C27" s="119">
        <f>IF(INDEX(Base,MATCH(A27,Comptes,0))="HT",SUMIF(tblJournal[Débit],A27,tblJournal[Montant HT]),SUMIF(tblJournal[Débit],A27,tblJournal[Montant TTC]))+IF(A27="1176",SUMIF(tblJournal[Cpte TVA],A27,tblJournal[TVA CHF]),0)</f>
        <v>3080</v>
      </c>
      <c r="D27" s="119">
        <f>IF(INDEX(Base,MATCH(A27,Comptes,0))="HT",SUMIF(tblJournal[Crédit],A27,tblJournal[Montant HT]),SUMIF(tblJournal[Crédit],A27,tblJournal[Montant TTC]))+IF(A27="2200",SUMIF(tblJournal[Cpte TVA],A27,tblJournal[TVA CHF]),0)</f>
        <v>0</v>
      </c>
      <c r="E27" s="119">
        <f>C27-D27</f>
        <v>3080</v>
      </c>
    </row>
    <row r="28">
      <c r="A28" s="95" t="inlineStr">
        <is>
          <t>6570</t>
        </is>
      </c>
      <c r="B28" s="96" t="inlineStr">
        <is>
          <t>Informatique</t>
        </is>
      </c>
      <c r="C28" s="119">
        <f>IF(INDEX(Base,MATCH(A28,Comptes,0))="HT",SUMIF(tblJournal[Débit],A28,tblJournal[Montant HT]),SUMIF(tblJournal[Débit],A28,tblJournal[Montant TTC]))+IF(A28="1176",SUMIF(tblJournal[Cpte TVA],A28,tblJournal[TVA CHF]),0)</f>
        <v>1020</v>
      </c>
      <c r="D28" s="119">
        <f>IF(INDEX(Base,MATCH(A28,Comptes,0))="HT",SUMIF(tblJournal[Crédit],A28,tblJournal[Montant HT]),SUMIF(tblJournal[Crédit],A28,tblJournal[Montant TTC]))+IF(A28="2200",SUMIF(tblJournal[Cpte TVA],A28,tblJournal[TVA CHF]),0)</f>
        <v>240</v>
      </c>
      <c r="E28" s="119">
        <f>C28-D28</f>
        <v>780</v>
      </c>
    </row>
    <row r="29">
      <c r="A29" s="95" t="inlineStr">
        <is>
          <t>6600</t>
        </is>
      </c>
      <c r="B29" s="96" t="inlineStr">
        <is>
          <t>Publicité &amp; marketing</t>
        </is>
      </c>
      <c r="C29" s="119">
        <f>IF(INDEX(Base,MATCH(A29,Comptes,0))="HT",SUMIF(tblJournal[Débit],A29,tblJournal[Montant HT]),SUMIF(tblJournal[Débit],A29,tblJournal[Montant TTC]))+IF(A29="1176",SUMIF(tblJournal[Cpte TVA],A29,tblJournal[TVA CHF]),0)</f>
        <v>4600</v>
      </c>
      <c r="D29" s="119">
        <f>IF(INDEX(Base,MATCH(A29,Comptes,0))="HT",SUMIF(tblJournal[Crédit],A29,tblJournal[Montant HT]),SUMIF(tblJournal[Crédit],A29,tblJournal[Montant TTC]))+IF(A29="2200",SUMIF(tblJournal[Cpte TVA],A29,tblJournal[TVA CHF]),0)</f>
        <v>0</v>
      </c>
      <c r="E29" s="119">
        <f>C29-D29</f>
        <v>4600</v>
      </c>
    </row>
    <row r="30">
      <c r="A30" s="95" t="inlineStr">
        <is>
          <t>6800</t>
        </is>
      </c>
      <c r="B30" s="96" t="inlineStr">
        <is>
          <t>Amortissements</t>
        </is>
      </c>
      <c r="C30" s="119">
        <f>IF(INDEX(Base,MATCH(A30,Comptes,0))="HT",SUMIF(tblJournal[Débit],A30,tblJournal[Montant HT]),SUMIF(tblJournal[Débit],A30,tblJournal[Montant TTC]))+IF(A30="1176",SUMIF(tblJournal[Cpte TVA],A30,tblJournal[TVA CHF]),0)</f>
        <v>12400</v>
      </c>
      <c r="D30" s="119">
        <f>IF(INDEX(Base,MATCH(A30,Comptes,0))="HT",SUMIF(tblJournal[Crédit],A30,tblJournal[Montant HT]),SUMIF(tblJournal[Crédit],A30,tblJournal[Montant TTC]))+IF(A30="2200",SUMIF(tblJournal[Cpte TVA],A30,tblJournal[TVA CHF]),0)</f>
        <v>0</v>
      </c>
      <c r="E30" s="119">
        <f>C30-D30</f>
        <v>12400</v>
      </c>
    </row>
    <row r="31">
      <c r="A31" s="95" t="inlineStr">
        <is>
          <t>6900</t>
        </is>
      </c>
      <c r="B31" s="96" t="inlineStr">
        <is>
          <t>Charges financières</t>
        </is>
      </c>
      <c r="C31" s="119">
        <f>IF(INDEX(Base,MATCH(A31,Comptes,0))="HT",SUMIF(tblJournal[Débit],A31,tblJournal[Montant HT]),SUMIF(tblJournal[Débit],A31,tblJournal[Montant TTC]))+IF(A31="1176",SUMIF(tblJournal[Cpte TVA],A31,tblJournal[TVA CHF]),0)</f>
        <v>1800</v>
      </c>
      <c r="D31" s="119">
        <f>IF(INDEX(Base,MATCH(A31,Comptes,0))="HT",SUMIF(tblJournal[Crédit],A31,tblJournal[Montant HT]),SUMIF(tblJournal[Crédit],A31,tblJournal[Montant TTC]))+IF(A31="2200",SUMIF(tblJournal[Cpte TVA],A31,tblJournal[TVA CHF]),0)</f>
        <v>0</v>
      </c>
      <c r="E31" s="119">
        <f>C31-D31</f>
        <v>1800</v>
      </c>
    </row>
    <row r="32">
      <c r="A32" s="95" t="inlineStr">
        <is>
          <t>8900</t>
        </is>
      </c>
      <c r="B32" s="96" t="inlineStr">
        <is>
          <t>Impôts directs</t>
        </is>
      </c>
      <c r="C32" s="119">
        <f>IF(INDEX(Base,MATCH(A32,Comptes,0))="HT",SUMIF(tblJournal[Débit],A32,tblJournal[Montant HT]),SUMIF(tblJournal[Débit],A32,tblJournal[Montant TTC]))+IF(A32="1176",SUMIF(tblJournal[Cpte TVA],A32,tblJournal[TVA CHF]),0)</f>
        <v>1922.9</v>
      </c>
      <c r="D32" s="119">
        <f>IF(INDEX(Base,MATCH(A32,Comptes,0))="HT",SUMIF(tblJournal[Crédit],A32,tblJournal[Montant HT]),SUMIF(tblJournal[Crédit],A32,tblJournal[Montant TTC]))+IF(A32="2200",SUMIF(tblJournal[Cpte TVA],A32,tblJournal[TVA CHF]),0)</f>
        <v>0</v>
      </c>
      <c r="E32" s="119">
        <f>C32-D32</f>
        <v>1922.9</v>
      </c>
    </row>
    <row r="33">
      <c r="B33" s="121" t="inlineStr">
        <is>
          <t>TOTAUX</t>
        </is>
      </c>
      <c r="C33" s="122">
        <f>SUM(C4:C32)</f>
        <v>1007325.2</v>
      </c>
      <c r="D33" s="122">
        <f>SUM(D4:D32)</f>
        <v>1007325.2</v>
      </c>
      <c r="E33" s="122">
        <f>C33-D33</f>
        <v>0</v>
      </c>
    </row>
    <row r="34"/>
    <row r="35">
      <c r="B35" s="106" t="inlineStr">
        <is>
          <t>Contrôle d'équilibre :</t>
        </is>
      </c>
      <c r="C35" s="123" t="str">
        <f>IF(ROUND(C33-D33,2)=0,"✓ Équilibré","✗ Déséquilibre")</f>
        <v>✓ Équilibré</v>
      </c>
    </row>
    <row r="36">
      <c r="B36" s="103" t="inlineStr">
        <is>
          <t>Comptes de contrepartie (base TTC) imputés au montant TTC, comptes HT au montant HT, TVA sur 2200 / 1176 (colonne « Cpte TVA » du journal).</t>
        </is>
      </c>
    </row>
    <row r="37"/>
    <row r="38"/>
    <row r="39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ref="I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K19"/>
  <sheetViews>
    <sheetView showGridLines="0" zoomScale="100" workbookViewId="0">
      <selection activeCell="A1" sqref="A1"/>
    </sheetView>
  </sheetViews>
  <sheetFormatPr baseColWidth="8" defaultRowHeight="15"/>
  <cols>
    <col width="32.7" customWidth="1" min="1" max="1"/>
    <col width="17.1" customWidth="1" min="2" max="2"/>
    <col width="17.1" customWidth="1" min="3" max="3"/>
    <col width="3.7109375" customWidth="1" min="4" max="4"/>
    <col width="37.2" customWidth="1" min="5" max="5"/>
    <col width="17.1" customWidth="1" min="6" max="6"/>
    <col width="17.1" customWidth="1" min="7" max="7"/>
    <col width="13" customWidth="1" min="10" max="10"/>
  </cols>
  <sheetData>
    <row r="1" ht="26" customHeight="1">
      <c r="A1" s="93" t="inlineStr">
        <is>
          <t>Bilan comparatif au 31.12 — 2025 vs 2024</t>
        </is>
      </c>
      <c r="J1" s="76" t="inlineStr">
        <is>
          <t>← Sommaire</t>
        </is>
      </c>
    </row>
    <row r="2"/>
    <row r="3">
      <c r="A3" s="94" t="inlineStr">
        <is>
          <t>ACTIF</t>
        </is>
      </c>
      <c r="B3" s="94" t="inlineStr">
        <is>
          <t>2025</t>
        </is>
      </c>
      <c r="C3" s="94" t="inlineStr">
        <is>
          <t>2024</t>
        </is>
      </c>
      <c r="E3" s="94" t="inlineStr">
        <is>
          <t>PASSIF</t>
        </is>
      </c>
      <c r="F3" s="94" t="inlineStr">
        <is>
          <t>2025</t>
        </is>
      </c>
      <c r="G3" s="94" t="inlineStr">
        <is>
          <t>2024</t>
        </is>
      </c>
    </row>
    <row r="4">
      <c r="A4" s="96" t="inlineStr">
        <is>
          <t>1000 Caisse</t>
        </is>
      </c>
      <c r="B4" s="119">
        <f>INDEX('Balance'!$E$4:$E$32,MATCH("1000",'Balance'!$A$4:$A$32,0))</f>
        <v>0</v>
      </c>
      <c r="C4" s="119">
        <f>ROUND(B4*0.9,0)</f>
        <v>0</v>
      </c>
      <c r="E4" s="96" t="inlineStr">
        <is>
          <t>2000 Dettes fournisseurs (créanciers)</t>
        </is>
      </c>
      <c r="F4" s="119">
        <f>-INDEX('Balance'!$E$4:$E$32,MATCH("2000",'Balance'!$A$4:$A$32,0))</f>
        <v>8780</v>
      </c>
      <c r="G4" s="119">
        <f>ROUND(F4*0.9,0)</f>
        <v>7902</v>
      </c>
    </row>
    <row r="5">
      <c r="A5" s="96" t="inlineStr">
        <is>
          <t>1020 Banque</t>
        </is>
      </c>
      <c r="B5" s="119">
        <f>INDEX('Balance'!$E$4:$E$32,MATCH("1020",'Balance'!$A$4:$A$32,0))</f>
        <v>73682.12</v>
      </c>
      <c r="C5" s="119">
        <f>ROUND(B5*0.9,0)</f>
        <v>66314</v>
      </c>
      <c r="E5" s="96" t="inlineStr">
        <is>
          <t>2200 TVA due</t>
        </is>
      </c>
      <c r="F5" s="119">
        <f>-INDEX('Balance'!$E$4:$E$32,MATCH("2200",'Balance'!$A$4:$A$32,0))</f>
        <v>4339.17</v>
      </c>
      <c r="G5" s="119">
        <f>ROUND(F5*0.9,0)</f>
        <v>3905</v>
      </c>
    </row>
    <row r="6">
      <c r="A6" s="96" t="inlineStr">
        <is>
          <t>1100 Créances clients (débiteurs)</t>
        </is>
      </c>
      <c r="B6" s="119">
        <f>INDEX('Balance'!$E$4:$E$32,MATCH("1100",'Balance'!$A$4:$A$32,0))</f>
        <v>32100</v>
      </c>
      <c r="C6" s="119">
        <f>ROUND(B6*0.9,0)</f>
        <v>28890</v>
      </c>
      <c r="E6" s="96" t="inlineStr">
        <is>
          <t>2270 Dettes sociales (AVS, AC, LPP, AF)</t>
        </is>
      </c>
      <c r="F6" s="119">
        <f>-INDEX('Balance'!$E$4:$E$32,MATCH("2270",'Balance'!$A$4:$A$32,0))</f>
        <v>5211.97</v>
      </c>
      <c r="G6" s="119">
        <f>ROUND(F6*0.9,0)</f>
        <v>4691</v>
      </c>
    </row>
    <row r="7">
      <c r="A7" s="96" t="inlineStr">
        <is>
          <t>1176 TVA – impôt préalable</t>
        </is>
      </c>
      <c r="B7" s="119">
        <f>INDEX('Balance'!$E$4:$E$32,MATCH("1176",'Balance'!$A$4:$A$32,0))</f>
        <v>0</v>
      </c>
      <c r="C7" s="119">
        <f>ROUND(B7*0.9,0)</f>
        <v>0</v>
      </c>
      <c r="E7" s="96" t="inlineStr">
        <is>
          <t>2300 Passifs de régularisation</t>
        </is>
      </c>
      <c r="F7" s="119">
        <f>-INDEX('Balance'!$E$4:$E$32,MATCH("2300",'Balance'!$A$4:$A$32,0))</f>
        <v>450</v>
      </c>
      <c r="G7" s="119">
        <f>ROUND(F7*0.9,0)</f>
        <v>405</v>
      </c>
    </row>
    <row r="8">
      <c r="A8" s="96" t="inlineStr">
        <is>
          <t>1200 Stock de marchandises</t>
        </is>
      </c>
      <c r="B8" s="119">
        <f>INDEX('Balance'!$E$4:$E$32,MATCH("1200",'Balance'!$A$4:$A$32,0))</f>
        <v>5000</v>
      </c>
      <c r="C8" s="119">
        <f>ROUND(B8*0.9,0)</f>
        <v>4500</v>
      </c>
      <c r="E8" s="96" t="inlineStr">
        <is>
          <t>2330 Provision pour impôts directs</t>
        </is>
      </c>
      <c r="F8" s="119">
        <f>-INDEX('Balance'!$E$4:$E$32,MATCH("2330",'Balance'!$A$4:$A$32,0))</f>
        <v>1922.9</v>
      </c>
      <c r="G8" s="119">
        <f>ROUND(F8*0.9,0)</f>
        <v>1731</v>
      </c>
    </row>
    <row r="9">
      <c r="A9" s="96" t="inlineStr">
        <is>
          <t>1300 Actifs de régularisation</t>
        </is>
      </c>
      <c r="B9" s="119">
        <f>INDEX('Balance'!$E$4:$E$32,MATCH("1300",'Balance'!$A$4:$A$32,0))</f>
        <v>240</v>
      </c>
      <c r="C9" s="119">
        <f>ROUND(B9*0.9,0)</f>
        <v>216</v>
      </c>
      <c r="E9" s="96" t="inlineStr">
        <is>
          <t>2450 Emprunt bancaire</t>
        </is>
      </c>
      <c r="F9" s="119">
        <f>-INDEX('Balance'!$E$4:$E$32,MATCH("2450",'Balance'!$A$4:$A$32,0))</f>
        <v>40000</v>
      </c>
      <c r="G9" s="119">
        <f>ROUND(F9*0.9,0)</f>
        <v>36000</v>
      </c>
    </row>
    <row r="10">
      <c r="A10" s="96" t="inlineStr">
        <is>
          <t>1500 Machines &amp; équipements</t>
        </is>
      </c>
      <c r="B10" s="119">
        <f>INDEX('Balance'!$E$4:$E$32,MATCH("1500",'Balance'!$A$4:$A$32,0))</f>
        <v>24000</v>
      </c>
      <c r="C10" s="119">
        <f>ROUND(B10*0.9,0)</f>
        <v>21600</v>
      </c>
      <c r="E10" s="96" t="inlineStr">
        <is>
          <t>2800 Capital social</t>
        </is>
      </c>
      <c r="F10" s="119">
        <f>-INDEX('Balance'!$E$4:$E$32,MATCH("2800",'Balance'!$A$4:$A$32,0))</f>
        <v>90000</v>
      </c>
      <c r="G10" s="119">
        <f>ROUND(F10*0.9,0)</f>
        <v>81000</v>
      </c>
    </row>
    <row r="11">
      <c r="A11" s="96" t="inlineStr">
        <is>
          <t>1510 Mobilier &amp; installations</t>
        </is>
      </c>
      <c r="B11" s="119">
        <f>INDEX('Balance'!$E$4:$E$32,MATCH("1510",'Balance'!$A$4:$A$32,0))</f>
        <v>6400</v>
      </c>
      <c r="C11" s="119">
        <f>ROUND(B11*0.9,0)</f>
        <v>5760</v>
      </c>
      <c r="E11" s="96" t="inlineStr">
        <is>
          <t>2979 Bénéfice reporté</t>
        </is>
      </c>
      <c r="F11" s="119">
        <f>-INDEX('Balance'!$E$4:$E$32,MATCH("2979",'Balance'!$A$4:$A$32,0))</f>
        <v>0</v>
      </c>
      <c r="G11" s="119">
        <f>ROUND(F11*0.9,0)</f>
        <v>0</v>
      </c>
    </row>
    <row r="12">
      <c r="A12" s="96" t="inlineStr">
        <is>
          <t>1530 Véhicule utilitaire</t>
        </is>
      </c>
      <c r="B12" s="119">
        <f>INDEX('Balance'!$E$4:$E$32,MATCH("1530",'Balance'!$A$4:$A$32,0))</f>
        <v>19200</v>
      </c>
      <c r="C12" s="119">
        <f>ROUND(B12*0.9,0)</f>
        <v>17280</v>
      </c>
      <c r="E12" s="96" t="inlineStr">
        <is>
          <t>Résultat de l'exercice</t>
        </is>
      </c>
      <c r="F12" s="119">
        <f>'Compte de résultat'!$B$25</f>
        <v>9918.08000000001</v>
      </c>
      <c r="G12" s="119">
        <f>C13-SUM(G4:G11)</f>
        <v>8926</v>
      </c>
    </row>
    <row r="13">
      <c r="A13" s="121" t="inlineStr">
        <is>
          <t>TOTAL ACTIF</t>
        </is>
      </c>
      <c r="B13" s="122">
        <f>SUM(B4:B12)</f>
        <v>160622.12</v>
      </c>
      <c r="C13" s="122">
        <f>SUM(C4:C12)</f>
        <v>144560</v>
      </c>
      <c r="E13" s="121" t="inlineStr">
        <is>
          <t>TOTAL PASSIF</t>
        </is>
      </c>
      <c r="F13" s="122">
        <f>SUM(F4:F12)</f>
        <v>160622.12</v>
      </c>
      <c r="G13" s="122">
        <f>SUM(G4:G12)</f>
        <v>144560</v>
      </c>
    </row>
    <row r="14"/>
    <row r="15">
      <c r="A15" s="106" t="inlineStr">
        <is>
          <t>Équilibre :</t>
        </is>
      </c>
      <c r="B15" s="123" t="str">
        <f>IF(ROUND(B13-F13,2)=0,"✓ Actif = Passif","✗ Déséquilibre")</f>
        <v>✓ Actif = Passif</v>
      </c>
    </row>
    <row r="16">
      <c r="A16" s="115" t="inlineStr">
        <is>
          <t>Société créée le 01.01.2025 : la colonne 2024 est illustrative (90 % de 2025) et sert uniquement à démontrer la mécanique comparative.</t>
        </is>
      </c>
    </row>
    <row r="17"/>
    <row r="18"/>
    <row r="19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ref="J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I27"/>
  <sheetViews>
    <sheetView showGridLines="0" zoomScale="100" workbookViewId="0">
      <selection activeCell="A1" sqref="A1"/>
    </sheetView>
  </sheetViews>
  <sheetFormatPr baseColWidth="8" defaultRowHeight="15"/>
  <cols>
    <col width="41.1" customWidth="1" min="1" max="1"/>
    <col width="17.2" customWidth="1" min="2" max="2"/>
    <col width="13" customWidth="1" min="3" max="3"/>
    <col width="13" customWidth="1" min="4" max="4"/>
    <col width="13" customWidth="1" min="8" max="8"/>
  </cols>
  <sheetData>
    <row r="1" ht="26" customHeight="1">
      <c r="A1" s="93" t="inlineStr">
        <is>
          <t>Compte de résultat — Atelier Léman Sàrl · 2025</t>
        </is>
      </c>
      <c r="H1" s="76" t="inlineStr">
        <is>
          <t>← Sommaire</t>
        </is>
      </c>
    </row>
    <row r="2"/>
    <row r="3">
      <c r="A3" s="94" t="inlineStr">
        <is>
          <t>Poste</t>
        </is>
      </c>
      <c r="B3" s="94" t="inlineStr">
        <is>
          <t>Montant</t>
        </is>
      </c>
      <c r="C3" s="94" t="inlineStr">
        <is>
          <t>% du CA</t>
        </is>
      </c>
      <c r="D3" s="94" t="inlineStr">
        <is>
          <t>vs N-1</t>
        </is>
      </c>
    </row>
    <row r="4">
      <c r="A4" s="112" t="inlineStr">
        <is>
          <t>PRODUITS</t>
        </is>
      </c>
    </row>
    <row r="5">
      <c r="A5" s="96" t="inlineStr">
        <is>
          <t>3000 Prestations de services</t>
        </is>
      </c>
      <c r="B5" s="119">
        <f>SUMIF(tblJournal[Crédit],"3000",tblJournal[Montant HT])-SUMIF(tblJournal[Débit],"3000",tblJournal[Montant HT])</f>
        <v>153600</v>
      </c>
    </row>
    <row r="6">
      <c r="A6" s="96" t="inlineStr">
        <is>
          <t>3200 Ventes de marchandises</t>
        </is>
      </c>
      <c r="B6" s="119">
        <f>SUMIF(tblJournal[Crédit],"3200",tblJournal[Montant HT])-SUMIF(tblJournal[Débit],"3200",tblJournal[Montant HT])</f>
        <v>60400</v>
      </c>
    </row>
    <row r="7">
      <c r="A7" s="121" t="inlineStr">
        <is>
          <t>Total produits (CA)</t>
        </is>
      </c>
      <c r="B7" s="122">
        <f>SUM(B5:B6)</f>
        <v>214000</v>
      </c>
      <c r="D7" s="124">
        <f>B7/'Tableau de bord'!$L$20-1</f>
        <v>0.136363636363636</v>
      </c>
    </row>
    <row r="8"/>
    <row r="9">
      <c r="A9" s="112" t="inlineStr">
        <is>
          <t>CHARGES D'EXPLOITATION</t>
        </is>
      </c>
    </row>
    <row r="10">
      <c r="A10" s="96" t="inlineStr">
        <is>
          <t>4000 Achats de marchandises</t>
        </is>
      </c>
      <c r="B10" s="119">
        <f>SUMIF(tblJournal[Débit],"4000",tblJournal[Montant HT])-SUMIF(tblJournal[Crédit],"4000",tblJournal[Montant HT])</f>
        <v>43900</v>
      </c>
      <c r="C10" s="125">
        <f>B10/$B$7</f>
        <v>0.205140186915888</v>
      </c>
    </row>
    <row r="11">
      <c r="A11" s="96" t="inlineStr">
        <is>
          <t>5000 Salaires</t>
        </is>
      </c>
      <c r="B11" s="119">
        <f>SUMIF(tblJournal[Débit],"5000",tblJournal[Montant HT])-SUMIF(tblJournal[Crédit],"5000",tblJournal[Montant HT])</f>
        <v>102000</v>
      </c>
      <c r="C11" s="125">
        <f>B11/$B$7</f>
        <v>0.476635514018692</v>
      </c>
    </row>
    <row r="12">
      <c r="A12" s="96" t="inlineStr">
        <is>
          <t>5700 Charges sociales</t>
        </is>
      </c>
      <c r="B12" s="119">
        <f>SUMIF(tblJournal[Débit],"5700",tblJournal[Montant HT])-SUMIF(tblJournal[Crédit],"5700",tblJournal[Montant HT])</f>
        <v>11549.02</v>
      </c>
      <c r="C12" s="125">
        <f>B12/$B$7</f>
        <v>0.0539673831775701</v>
      </c>
    </row>
    <row r="13">
      <c r="A13" s="96" t="inlineStr">
        <is>
          <t>6000 Loyer &amp; charges</t>
        </is>
      </c>
      <c r="B13" s="119">
        <f>SUMIF(tblJournal[Débit],"6000",tblJournal[Montant HT])-SUMIF(tblJournal[Crédit],"6000",tblJournal[Montant HT])</f>
        <v>22050</v>
      </c>
      <c r="C13" s="125">
        <f>B13/$B$7</f>
        <v>0.10303738317757</v>
      </c>
    </row>
    <row r="14">
      <c r="A14" s="96" t="inlineStr">
        <is>
          <t>6500 Administration</t>
        </is>
      </c>
      <c r="B14" s="119">
        <f>SUMIF(tblJournal[Débit],"6500",tblJournal[Montant HT])-SUMIF(tblJournal[Crédit],"6500",tblJournal[Montant HT])</f>
        <v>3080</v>
      </c>
      <c r="C14" s="125">
        <f>B14/$B$7</f>
        <v>0.014392523364486</v>
      </c>
    </row>
    <row r="15">
      <c r="A15" s="96" t="inlineStr">
        <is>
          <t>6570 Informatique</t>
        </is>
      </c>
      <c r="B15" s="119">
        <f>SUMIF(tblJournal[Débit],"6570",tblJournal[Montant HT])-SUMIF(tblJournal[Crédit],"6570",tblJournal[Montant HT])</f>
        <v>780</v>
      </c>
      <c r="C15" s="125">
        <f>B15/$B$7</f>
        <v>0.00364485981308411</v>
      </c>
    </row>
    <row r="16">
      <c r="A16" s="96" t="inlineStr">
        <is>
          <t>6600 Publicité &amp; marketing</t>
        </is>
      </c>
      <c r="B16" s="119">
        <f>SUMIF(tblJournal[Débit],"6600",tblJournal[Montant HT])-SUMIF(tblJournal[Crédit],"6600",tblJournal[Montant HT])</f>
        <v>4600</v>
      </c>
      <c r="C16" s="125">
        <f>B16/$B$7</f>
        <v>0.0214953271028037</v>
      </c>
    </row>
    <row r="17">
      <c r="A17" s="96" t="inlineStr">
        <is>
          <t>6800 Amortissements</t>
        </is>
      </c>
      <c r="B17" s="119">
        <f>SUMIF(tblJournal[Débit],"6800",tblJournal[Montant HT])-SUMIF(tblJournal[Crédit],"6800",tblJournal[Montant HT])</f>
        <v>12400</v>
      </c>
      <c r="C17" s="125">
        <f>B17/$B$7</f>
        <v>0.0579439252336449</v>
      </c>
    </row>
    <row r="18">
      <c r="A18" s="121" t="inlineStr">
        <is>
          <t>Total charges d'exploitation</t>
        </is>
      </c>
      <c r="B18" s="122">
        <f>SUM(B10:B17)</f>
        <v>200359.02</v>
      </c>
    </row>
    <row r="19">
      <c r="A19" s="117" t="inlineStr">
        <is>
          <t>RÉSULTAT D'EXPLOITATION</t>
        </is>
      </c>
      <c r="B19" s="126">
        <f>B7-B18</f>
        <v>13640.98</v>
      </c>
    </row>
    <row r="20"/>
    <row r="21">
      <c r="A21" s="112" t="inlineStr">
        <is>
          <t>RÉSULTAT FINANCIER</t>
        </is>
      </c>
    </row>
    <row r="22">
      <c r="A22" s="96" t="inlineStr">
        <is>
          <t>6900 Charges financières</t>
        </is>
      </c>
      <c r="B22" s="119">
        <f>SUMIF(tblJournal[Débit],"6900",tblJournal[Montant HT])-SUMIF(tblJournal[Crédit],"6900",tblJournal[Montant HT])</f>
        <v>1800</v>
      </c>
    </row>
    <row r="23">
      <c r="A23" s="121" t="inlineStr">
        <is>
          <t>RÉSULTAT AVANT IMPÔTS</t>
        </is>
      </c>
      <c r="B23" s="122">
        <f>B19-B22</f>
        <v>11840.98</v>
      </c>
    </row>
    <row r="24">
      <c r="A24" s="96" t="inlineStr">
        <is>
          <t>8900 Impôts directs (provision, feuille Impôts)</t>
        </is>
      </c>
      <c r="B24" s="119">
        <f>INDEX('Balance'!$E$4:$E$32,MATCH("8900",'Balance'!$A$4:$A$32,0))</f>
        <v>1922.9</v>
      </c>
    </row>
    <row r="25">
      <c r="A25" s="127" t="inlineStr">
        <is>
          <t>RÉSULTAT NET</t>
        </is>
      </c>
      <c r="B25" s="128">
        <f>B23-B24</f>
        <v>9918.08000000001</v>
      </c>
      <c r="C25" s="129">
        <f>B25/B7</f>
        <v>0.0463461682242991</v>
      </c>
      <c r="D25" s="124">
        <f>B25/'Bilan'!$G$12-1</f>
        <v>0.11114496975129</v>
      </c>
    </row>
    <row r="26"/>
    <row r="27">
      <c r="A27" s="103" t="inlineStr">
        <is>
          <t>vs N-1 : comparaison illustrative (voir Tableau de bord, colonne N-1).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ref="H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N19"/>
  <sheetViews>
    <sheetView showGridLines="0" zoomScale="100" workbookViewId="0">
      <selection activeCell="A1" sqref="A1"/>
    </sheetView>
  </sheetViews>
  <sheetFormatPr baseColWidth="8" defaultRowHeight="15"/>
  <cols>
    <col width="32.7" customWidth="1" min="1" max="1"/>
    <col width="16.1" customWidth="1" min="2" max="2"/>
    <col width="23.8" customWidth="1" min="3" max="3"/>
    <col width="18.7" customWidth="1" min="4" max="4"/>
    <col width="16.1" customWidth="1" min="5" max="5"/>
    <col width="18.8" customWidth="1" min="6" max="6"/>
    <col width="17.6" customWidth="1" min="7" max="7"/>
    <col width="19.7" customWidth="1" min="8" max="8"/>
    <col width="14" customWidth="1" min="9" max="9"/>
    <col width="18" customWidth="1" min="10" max="10"/>
    <col width="17" customWidth="1" min="11" max="11"/>
    <col width="13" customWidth="1" min="13" max="13"/>
  </cols>
  <sheetData>
    <row r="1" ht="26" customHeight="1">
      <c r="A1" s="93" t="inlineStr">
        <is>
          <t>Registre des immobilisations &amp; amortissements</t>
        </is>
      </c>
      <c r="M1" s="76" t="inlineStr">
        <is>
          <t>← Sommaire</t>
        </is>
      </c>
    </row>
    <row r="2">
      <c r="A2" s="116" t="inlineStr">
        <is>
          <t>Linéaire. La dotation de l'année alimente le compte 6800.</t>
        </is>
      </c>
    </row>
    <row r="3"/>
    <row r="4">
      <c r="A4" s="94" t="inlineStr">
        <is>
          <t>Immobilisation</t>
        </is>
      </c>
      <c r="B4" s="94" t="inlineStr">
        <is>
          <t>Compte</t>
        </is>
      </c>
      <c r="C4" s="94" t="inlineStr">
        <is>
          <t>Acquisition</t>
        </is>
      </c>
      <c r="D4" s="94" t="inlineStr">
        <is>
          <t>Valeur d'acq.</t>
        </is>
      </c>
      <c r="E4" s="94" t="inlineStr">
        <is>
          <t>Taux</t>
        </is>
      </c>
      <c r="F4" s="94" t="inlineStr">
        <is>
          <t>Dotation N</t>
        </is>
      </c>
      <c r="G4" s="94" t="inlineStr">
        <is>
          <t>Cumul N</t>
        </is>
      </c>
      <c r="H4" s="94" t="inlineStr">
        <is>
          <t>Valeur nette</t>
        </is>
      </c>
      <c r="I4" s="94" t="inlineStr">
        <is>
          <t>Taux fiscal max</t>
        </is>
      </c>
      <c r="J4" s="94" t="inlineStr">
        <is>
          <t>Dotation fiscale max</t>
        </is>
      </c>
      <c r="K4" s="94" t="inlineStr">
        <is>
          <t>Excédent non admis</t>
        </is>
      </c>
    </row>
    <row r="5">
      <c r="A5" s="96" t="inlineStr">
        <is>
          <t>Machine CNC</t>
        </is>
      </c>
      <c r="B5" s="95" t="inlineStr">
        <is>
          <t>1500</t>
        </is>
      </c>
      <c r="C5" s="130" t="n">
        <v>45659</v>
      </c>
      <c r="D5" s="119" t="n">
        <v>30000</v>
      </c>
      <c r="E5" s="98" t="n">
        <v>0.2</v>
      </c>
      <c r="F5" s="119">
        <f>D5*E5</f>
        <v>6000</v>
      </c>
      <c r="G5" s="119">
        <f>D5*E5</f>
        <v>6000</v>
      </c>
      <c r="H5" s="119">
        <f>D5-G5</f>
        <v>24000</v>
      </c>
      <c r="I5" s="131" t="n">
        <v>0.15</v>
      </c>
      <c r="J5" s="119">
        <f>D5*I5</f>
        <v>4500</v>
      </c>
      <c r="K5" s="119">
        <f>MAX(0,F5-J5)</f>
        <v>1500</v>
      </c>
    </row>
    <row r="6">
      <c r="A6" s="96" t="inlineStr">
        <is>
          <t>Mobilier &amp; installations</t>
        </is>
      </c>
      <c r="B6" s="95" t="inlineStr">
        <is>
          <t>1510</t>
        </is>
      </c>
      <c r="C6" s="130" t="n">
        <v>45659</v>
      </c>
      <c r="D6" s="119" t="n">
        <v>8000</v>
      </c>
      <c r="E6" s="98" t="n">
        <v>0.2</v>
      </c>
      <c r="F6" s="119">
        <f>D6*E6</f>
        <v>1600</v>
      </c>
      <c r="G6" s="119">
        <f>D6*E6</f>
        <v>1600</v>
      </c>
      <c r="H6" s="119">
        <f>D6-G6</f>
        <v>6400</v>
      </c>
      <c r="I6" s="131" t="n">
        <v>0.125</v>
      </c>
      <c r="J6" s="119">
        <f>D6*I6</f>
        <v>1000</v>
      </c>
      <c r="K6" s="119">
        <f>MAX(0,F6-J6)</f>
        <v>600</v>
      </c>
    </row>
    <row r="7">
      <c r="A7" s="96" t="inlineStr">
        <is>
          <t>Véhicule utilitaire</t>
        </is>
      </c>
      <c r="B7" s="95" t="inlineStr">
        <is>
          <t>1530</t>
        </is>
      </c>
      <c r="C7" s="130" t="n">
        <v>45659</v>
      </c>
      <c r="D7" s="119" t="n">
        <v>24000</v>
      </c>
      <c r="E7" s="98" t="n">
        <v>0.2</v>
      </c>
      <c r="F7" s="119">
        <f>D7*E7</f>
        <v>4800</v>
      </c>
      <c r="G7" s="119">
        <f>D7*E7</f>
        <v>4800</v>
      </c>
      <c r="H7" s="119">
        <f>D7-G7</f>
        <v>19200</v>
      </c>
      <c r="I7" s="131" t="n">
        <v>0.2</v>
      </c>
      <c r="J7" s="119">
        <f>D7*I7</f>
        <v>4800</v>
      </c>
      <c r="K7" s="119">
        <f>MAX(0,F7-J7)</f>
        <v>0</v>
      </c>
    </row>
    <row r="8">
      <c r="A8" s="121" t="inlineStr">
        <is>
          <t>Total dotation (= compte 6800)</t>
        </is>
      </c>
      <c r="F8" s="122">
        <f>SUM(F5:F7)</f>
        <v>12400</v>
      </c>
      <c r="H8" s="132" t="inlineStr">
        <is>
          <t>Reprise fiscale :</t>
        </is>
      </c>
      <c r="K8" s="122">
        <f>SUM(K5:K7)</f>
        <v>2100</v>
      </c>
    </row>
    <row r="9">
      <c r="A9" s="106" t="inlineStr">
        <is>
          <t>Contrôle vs journal :</t>
        </is>
      </c>
      <c r="F9" s="123" t="str">
        <f>IF(ROUND(F8-'Compte de résultat'!$B$17,2)=0,"✓","✗")</f>
        <v>✓</v>
      </c>
    </row>
    <row r="10" ht="40" customHeight="1">
      <c r="A10" s="133" t="inlineStr">
        <is>
          <t>Amortissement commercial linéaire (durée d'utilisation économique). Colonnes I–K : taux maximaux admis fiscalement (Notice A 1995 de l'AFC, méthode linéaire sur la valeur d'acquisition : machines 15 %, mobilier 12.5 %, véhicules 20 %) ; l'excédent est repris extra-comptablement dans le bénéfice imposable (art. 58 et 62 LIFD).</t>
        </is>
      </c>
    </row>
    <row r="11">
      <c r="A11" s="93" t="inlineStr">
        <is>
          <t>Plan d'amortissement pluriannuel — dotation par année</t>
        </is>
      </c>
    </row>
    <row r="12">
      <c r="A12" s="117" t="inlineStr">
        <is>
          <t>Année :</t>
        </is>
      </c>
      <c r="B12" s="118" t="n">
        <v>2025</v>
      </c>
      <c r="C12" s="117" t="inlineStr">
        <is>
          <t>Dotation de l'année :</t>
        </is>
      </c>
      <c r="D12" s="134">
        <f>INDEX($B$19:$G$19,MATCH(B12,$B$15:$G$15,0))</f>
        <v>12400</v>
      </c>
    </row>
    <row r="13"/>
    <row r="14"/>
    <row r="15">
      <c r="A15" s="94" t="inlineStr">
        <is>
          <t>Immobilisation</t>
        </is>
      </c>
      <c r="B15" s="135" t="n">
        <v>2025</v>
      </c>
      <c r="C15" s="135" t="n">
        <v>2026</v>
      </c>
      <c r="D15" s="135" t="n">
        <v>2027</v>
      </c>
      <c r="E15" s="135" t="n">
        <v>2028</v>
      </c>
      <c r="F15" s="135" t="n">
        <v>2029</v>
      </c>
      <c r="G15" s="135" t="n">
        <v>2030</v>
      </c>
      <c r="H15" s="94" t="inlineStr">
        <is>
          <t>Total</t>
        </is>
      </c>
    </row>
    <row r="16">
      <c r="A16" s="96" t="inlineStr">
        <is>
          <t>Machine CNC</t>
        </is>
      </c>
      <c r="B16" s="101" t="n">
        <v>6000</v>
      </c>
      <c r="C16" s="101" t="n">
        <v>6000</v>
      </c>
      <c r="D16" s="101" t="n">
        <v>6000</v>
      </c>
      <c r="E16" s="101" t="n">
        <v>6000</v>
      </c>
      <c r="F16" s="101" t="n">
        <v>6000</v>
      </c>
      <c r="G16" s="101" t="n">
        <v>0</v>
      </c>
      <c r="H16" s="101">
        <f>SUM(B16:G16)</f>
        <v>30000</v>
      </c>
    </row>
    <row r="17">
      <c r="A17" s="96" t="inlineStr">
        <is>
          <t>Mobilier &amp; installations</t>
        </is>
      </c>
      <c r="B17" s="101" t="n">
        <v>1600</v>
      </c>
      <c r="C17" s="101" t="n">
        <v>1600</v>
      </c>
      <c r="D17" s="101" t="n">
        <v>1600</v>
      </c>
      <c r="E17" s="101" t="n">
        <v>1600</v>
      </c>
      <c r="F17" s="101" t="n">
        <v>1600</v>
      </c>
      <c r="G17" s="101" t="n">
        <v>0</v>
      </c>
      <c r="H17" s="101">
        <f>SUM(B17:G17)</f>
        <v>8000</v>
      </c>
    </row>
    <row r="18">
      <c r="A18" s="96" t="inlineStr">
        <is>
          <t>Véhicule utilitaire</t>
        </is>
      </c>
      <c r="B18" s="101" t="n">
        <v>4800</v>
      </c>
      <c r="C18" s="101" t="n">
        <v>4800</v>
      </c>
      <c r="D18" s="101" t="n">
        <v>4800</v>
      </c>
      <c r="E18" s="101" t="n">
        <v>4800</v>
      </c>
      <c r="F18" s="101" t="n">
        <v>4800</v>
      </c>
      <c r="G18" s="101" t="n">
        <v>0</v>
      </c>
      <c r="H18" s="101">
        <f>SUM(B18:G18)</f>
        <v>24000</v>
      </c>
    </row>
    <row r="19">
      <c r="A19" s="121" t="inlineStr">
        <is>
          <t>Total par année</t>
        </is>
      </c>
      <c r="B19" s="136">
        <f>SUM(B16:B18)</f>
        <v>12400</v>
      </c>
      <c r="C19" s="136">
        <f>SUM(C16:C18)</f>
        <v>12400</v>
      </c>
      <c r="D19" s="136">
        <f>SUM(D16:D18)</f>
        <v>12400</v>
      </c>
      <c r="E19" s="136">
        <f>SUM(E16:E18)</f>
        <v>12400</v>
      </c>
      <c r="F19" s="136">
        <f>SUM(F16:F18)</f>
        <v>12400</v>
      </c>
      <c r="G19" s="136">
        <f>SUM(G16:G18)</f>
        <v>0</v>
      </c>
      <c r="H19" s="136">
        <f>SUM(B19:G19)</f>
        <v>62000</v>
      </c>
    </row>
  </sheetData>
  <mergeCells count="1">
    <mergeCell ref="A10:H10"/>
  </mergeCells>
  <dataValidations count="1">
    <dataValidation sqref="B12" showDropDown="0" showInputMessage="1" showErrorMessage="1" allowBlank="1" type="list">
      <formula1>"2025,2026,2027,2028,2029,2030"</formula1>
    </dataValidation>
  </dataValidations>
  <hyperlinks>
    <hyperlink ref="M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  <drawing xmlns:r="http://schemas.openxmlformats.org/officeDocument/2006/relationships" r:id="rId1"/>
  <tableParts count="1">
    <tablePart xmlns:r="http://schemas.openxmlformats.org/officeDocument/2006/relationships" r:id="rId2"/>
  </tableParts>
</worksheet>
</file>

<file path=xl/worksheets/sheet10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I31"/>
  <sheetViews>
    <sheetView showGridLines="0" zoomScale="100" workbookViewId="0">
      <selection activeCell="A1" sqref="A1"/>
    </sheetView>
  </sheetViews>
  <sheetFormatPr baseColWidth="8" defaultRowHeight="15"/>
  <cols>
    <col width="67.5" customWidth="1" min="1" max="1"/>
    <col width="16" customWidth="1" min="2" max="2"/>
    <col width="15.4" customWidth="1" min="3" max="3"/>
    <col width="16" customWidth="1" min="4" max="4"/>
    <col width="15" customWidth="1" min="5" max="5"/>
    <col width="16" customWidth="1" min="6" max="6"/>
    <col width="13" customWidth="1" min="8" max="8"/>
  </cols>
  <sheetData>
    <row r="1">
      <c r="A1" s="137" t="inlineStr">
        <is>
          <t>Emprunt bancaire — plan d'amortissement</t>
        </is>
      </c>
      <c r="H1" s="76" t="inlineStr">
        <is>
          <t>← Sommaire</t>
        </is>
      </c>
    </row>
    <row r="2">
      <c r="A2" s="78" t="inlineStr">
        <is>
          <t>Emprunt contracté le 01.01.2025, intérêts seuls la première année, puis annuités constantes (PMT) ; ventilation intérêts / amortissement par IPMT et PPMT.</t>
        </is>
      </c>
    </row>
    <row r="3"/>
    <row r="4">
      <c r="A4" s="96" t="inlineStr">
        <is>
          <t>Capital emprunté (bilan, compte 2450)</t>
        </is>
      </c>
      <c r="B4" s="119">
        <f>'Bilan'!$F$9</f>
        <v>40000</v>
      </c>
    </row>
    <row r="5">
      <c r="A5" s="96" t="inlineStr">
        <is>
          <t>Taux d'intérêt annuel</t>
        </is>
      </c>
      <c r="B5" s="138" t="n">
        <v>0.045</v>
      </c>
    </row>
    <row r="6">
      <c r="A6" s="96" t="inlineStr">
        <is>
          <t>Durée de remboursement (années, max 10)</t>
        </is>
      </c>
      <c r="B6" s="139" t="n">
        <v>5</v>
      </c>
    </row>
    <row r="7">
      <c r="A7" s="96" t="inlineStr">
        <is>
          <t>Année de la première annuité</t>
        </is>
      </c>
      <c r="B7" s="139" t="n">
        <v>2026</v>
      </c>
    </row>
    <row r="8">
      <c r="A8" s="127" t="inlineStr">
        <is>
          <t>Annuité constante  = PMT(taux ; durée ; −capital)</t>
        </is>
      </c>
      <c r="B8" s="140">
        <f>PMT(B5,B6,-B4)</f>
        <v>9111.66558017849</v>
      </c>
    </row>
    <row r="9"/>
    <row r="10">
      <c r="A10" s="94" t="inlineStr">
        <is>
          <t>Année</t>
        </is>
      </c>
      <c r="B10" s="94" t="inlineStr">
        <is>
          <t>Capital début</t>
        </is>
      </c>
      <c r="C10" s="94" t="inlineStr">
        <is>
          <t>Intérêts</t>
        </is>
      </c>
      <c r="D10" s="94" t="inlineStr">
        <is>
          <t>Amortissement</t>
        </is>
      </c>
      <c r="E10" s="94" t="inlineStr">
        <is>
          <t>Annuité</t>
        </is>
      </c>
      <c r="F10" s="94" t="inlineStr">
        <is>
          <t>Capital fin</t>
        </is>
      </c>
    </row>
    <row r="11">
      <c r="A11" s="141" t="n">
        <v>2025</v>
      </c>
      <c r="B11" s="119">
        <f>B4</f>
        <v>40000</v>
      </c>
      <c r="C11" s="119">
        <f>B11*$B$5</f>
        <v>1800</v>
      </c>
      <c r="D11" s="119" t="n">
        <v>0</v>
      </c>
      <c r="E11" s="119">
        <f>C11+D11</f>
        <v>1800</v>
      </c>
      <c r="F11" s="119">
        <f>B11-D11</f>
        <v>40000</v>
      </c>
    </row>
    <row r="12">
      <c r="A12" s="141">
        <f>IF(1&lt;=$B$6,$B$7+1-1,"")</f>
        <v>2026</v>
      </c>
      <c r="B12" s="119">
        <f>IF(1&lt;=$B$6,F11,"")</f>
        <v>40000</v>
      </c>
      <c r="C12" s="119">
        <f>IF(1&lt;=$B$6,IPMT($B$5,1,$B$6,-$B$4),"")</f>
        <v>1800</v>
      </c>
      <c r="D12" s="119">
        <f>IF(1&lt;=$B$6,PPMT($B$5,1,$B$6,-$B$4),"")</f>
        <v>7311.66558017849</v>
      </c>
      <c r="E12" s="119">
        <f>IF(1&lt;=$B$6,C12+D12,"")</f>
        <v>9111.66558017849</v>
      </c>
      <c r="F12" s="119">
        <f>IF(1&lt;=$B$6,B12-D12,"")</f>
        <v>32688.3344198215</v>
      </c>
    </row>
    <row r="13">
      <c r="A13" s="141">
        <f>IF(2&lt;=$B$6,$B$7+2-1,"")</f>
        <v>2027</v>
      </c>
      <c r="B13" s="119">
        <f>IF(2&lt;=$B$6,F12,"")</f>
        <v>32688.3344198215</v>
      </c>
      <c r="C13" s="119">
        <f>IF(2&lt;=$B$6,IPMT($B$5,2,$B$6,-$B$4),"")</f>
        <v>1470.97504889197</v>
      </c>
      <c r="D13" s="119">
        <f>IF(2&lt;=$B$6,PPMT($B$5,2,$B$6,-$B$4),"")</f>
        <v>7640.69053128652</v>
      </c>
      <c r="E13" s="119">
        <f>IF(2&lt;=$B$6,C13+D13,"")</f>
        <v>9111.66558017849</v>
      </c>
      <c r="F13" s="119">
        <f>IF(2&lt;=$B$6,B13-D13,"")</f>
        <v>25047.643888535</v>
      </c>
    </row>
    <row r="14">
      <c r="A14" s="141">
        <f>IF(3&lt;=$B$6,$B$7+3-1,"")</f>
        <v>2028</v>
      </c>
      <c r="B14" s="119">
        <f>IF(3&lt;=$B$6,F13,"")</f>
        <v>25047.643888535</v>
      </c>
      <c r="C14" s="119">
        <f>IF(3&lt;=$B$6,IPMT($B$5,3,$B$6,-$B$4),"")</f>
        <v>1127.14397498408</v>
      </c>
      <c r="D14" s="119">
        <f>IF(3&lt;=$B$6,PPMT($B$5,3,$B$6,-$B$4),"")</f>
        <v>7984.52160519441</v>
      </c>
      <c r="E14" s="119">
        <f>IF(3&lt;=$B$6,C14+D14,"")</f>
        <v>9111.66558017849</v>
      </c>
      <c r="F14" s="119">
        <f>IF(3&lt;=$B$6,B14-D14,"")</f>
        <v>17063.1222833406</v>
      </c>
    </row>
    <row r="15">
      <c r="A15" s="141">
        <f>IF(4&lt;=$B$6,$B$7+4-1,"")</f>
        <v>2029</v>
      </c>
      <c r="B15" s="119">
        <f>IF(4&lt;=$B$6,F14,"")</f>
        <v>17063.1222833406</v>
      </c>
      <c r="C15" s="119">
        <f>IF(4&lt;=$B$6,IPMT($B$5,4,$B$6,-$B$4),"")</f>
        <v>767.840502750328</v>
      </c>
      <c r="D15" s="119">
        <f>IF(4&lt;=$B$6,PPMT($B$5,4,$B$6,-$B$4),"")</f>
        <v>8343.82507742816</v>
      </c>
      <c r="E15" s="119">
        <f>IF(4&lt;=$B$6,C15+D15,"")</f>
        <v>9111.66558017849</v>
      </c>
      <c r="F15" s="119">
        <f>IF(4&lt;=$B$6,B15-D15,"")</f>
        <v>8719.29720591242</v>
      </c>
    </row>
    <row r="16">
      <c r="A16" s="141">
        <f>IF(5&lt;=$B$6,$B$7+5-1,"")</f>
        <v>2030</v>
      </c>
      <c r="B16" s="119">
        <f>IF(5&lt;=$B$6,F15,"")</f>
        <v>8719.29720591242</v>
      </c>
      <c r="C16" s="119">
        <f>IF(5&lt;=$B$6,IPMT($B$5,5,$B$6,-$B$4),"")</f>
        <v>392.368374266061</v>
      </c>
      <c r="D16" s="119">
        <f>IF(5&lt;=$B$6,PPMT($B$5,5,$B$6,-$B$4),"")</f>
        <v>8719.29720591243</v>
      </c>
      <c r="E16" s="119">
        <f>IF(5&lt;=$B$6,C16+D16,"")</f>
        <v>9111.66558017849</v>
      </c>
      <c r="F16" s="119">
        <f>IF(5&lt;=$B$6,B16-D16,"")</f>
        <v>0</v>
      </c>
    </row>
    <row r="17">
      <c r="A17" s="141">
        <f>IF(6&lt;=$B$6,$B$7+6-1,"")</f>
        <v/>
      </c>
      <c r="B17" s="119">
        <f>IF(6&lt;=$B$6,F16,"")</f>
        <v/>
      </c>
      <c r="C17" s="119">
        <f>IF(6&lt;=$B$6,IPMT($B$5,6,$B$6,-$B$4),"")</f>
        <v/>
      </c>
      <c r="D17" s="119">
        <f>IF(6&lt;=$B$6,PPMT($B$5,6,$B$6,-$B$4),"")</f>
        <v/>
      </c>
      <c r="E17" s="119">
        <f>IF(6&lt;=$B$6,C17+D17,"")</f>
        <v/>
      </c>
      <c r="F17" s="119">
        <f>IF(6&lt;=$B$6,B17-D17,"")</f>
        <v/>
      </c>
    </row>
    <row r="18">
      <c r="A18" s="141">
        <f>IF(7&lt;=$B$6,$B$7+7-1,"")</f>
        <v/>
      </c>
      <c r="B18" s="119">
        <f>IF(7&lt;=$B$6,F17,"")</f>
        <v/>
      </c>
      <c r="C18" s="119">
        <f>IF(7&lt;=$B$6,IPMT($B$5,7,$B$6,-$B$4),"")</f>
        <v/>
      </c>
      <c r="D18" s="119">
        <f>IF(7&lt;=$B$6,PPMT($B$5,7,$B$6,-$B$4),"")</f>
        <v/>
      </c>
      <c r="E18" s="119">
        <f>IF(7&lt;=$B$6,C18+D18,"")</f>
        <v/>
      </c>
      <c r="F18" s="119">
        <f>IF(7&lt;=$B$6,B18-D18,"")</f>
        <v/>
      </c>
    </row>
    <row r="19">
      <c r="A19" s="141">
        <f>IF(8&lt;=$B$6,$B$7+8-1,"")</f>
        <v/>
      </c>
      <c r="B19" s="119">
        <f>IF(8&lt;=$B$6,F18,"")</f>
        <v/>
      </c>
      <c r="C19" s="119">
        <f>IF(8&lt;=$B$6,IPMT($B$5,8,$B$6,-$B$4),"")</f>
        <v/>
      </c>
      <c r="D19" s="119">
        <f>IF(8&lt;=$B$6,PPMT($B$5,8,$B$6,-$B$4),"")</f>
        <v/>
      </c>
      <c r="E19" s="119">
        <f>IF(8&lt;=$B$6,C19+D19,"")</f>
        <v/>
      </c>
      <c r="F19" s="119">
        <f>IF(8&lt;=$B$6,B19-D19,"")</f>
        <v/>
      </c>
    </row>
    <row r="20">
      <c r="A20" s="141">
        <f>IF(9&lt;=$B$6,$B$7+9-1,"")</f>
        <v/>
      </c>
      <c r="B20" s="119">
        <f>IF(9&lt;=$B$6,F19,"")</f>
        <v/>
      </c>
      <c r="C20" s="119">
        <f>IF(9&lt;=$B$6,IPMT($B$5,9,$B$6,-$B$4),"")</f>
        <v/>
      </c>
      <c r="D20" s="119">
        <f>IF(9&lt;=$B$6,PPMT($B$5,9,$B$6,-$B$4),"")</f>
        <v/>
      </c>
      <c r="E20" s="119">
        <f>IF(9&lt;=$B$6,C20+D20,"")</f>
        <v/>
      </c>
      <c r="F20" s="119">
        <f>IF(9&lt;=$B$6,B20-D20,"")</f>
        <v/>
      </c>
    </row>
    <row r="21">
      <c r="A21" s="141">
        <f>IF(10&lt;=$B$6,$B$7+10-1,"")</f>
        <v/>
      </c>
      <c r="B21" s="119">
        <f>IF(10&lt;=$B$6,F20,"")</f>
        <v/>
      </c>
      <c r="C21" s="119">
        <f>IF(10&lt;=$B$6,IPMT($B$5,10,$B$6,-$B$4),"")</f>
        <v/>
      </c>
      <c r="D21" s="119">
        <f>IF(10&lt;=$B$6,PPMT($B$5,10,$B$6,-$B$4),"")</f>
        <v/>
      </c>
      <c r="E21" s="119">
        <f>IF(10&lt;=$B$6,C21+D21,"")</f>
        <v/>
      </c>
      <c r="F21" s="119">
        <f>IF(10&lt;=$B$6,B21-D21,"")</f>
        <v/>
      </c>
    </row>
    <row r="22">
      <c r="A22" s="127" t="inlineStr">
        <is>
          <t>Total</t>
        </is>
      </c>
      <c r="C22" s="140">
        <f>SUM(C11:C21)</f>
        <v>7358.32790089243</v>
      </c>
      <c r="D22" s="140">
        <f>SUM(D11:D21)</f>
        <v>40000</v>
      </c>
      <c r="E22" s="140">
        <f>SUM(E11:E21)</f>
        <v>47358.3279008924</v>
      </c>
    </row>
    <row r="23"/>
    <row r="24">
      <c r="A24" s="142" t="inlineStr">
        <is>
          <t>Présentation au bilan au 31.12.2025 (art. 959a CO)</t>
        </is>
      </c>
    </row>
    <row r="25">
      <c r="A25" s="96" t="inlineStr">
        <is>
          <t>Part à court terme (amortissement de l'année suivante)</t>
        </is>
      </c>
      <c r="B25" s="119">
        <f>D12</f>
        <v>7311.66558017849</v>
      </c>
    </row>
    <row r="26">
      <c r="A26" s="96" t="inlineStr">
        <is>
          <t>Part à long terme</t>
        </is>
      </c>
      <c r="B26" s="119">
        <f>B4-B25</f>
        <v>32688.3344198215</v>
      </c>
    </row>
    <row r="27"/>
    <row r="28">
      <c r="A28" s="96" t="inlineStr">
        <is>
          <t>Contrôle : intérêts 2025 du plan = charges financières comptabilisées (6900)</t>
        </is>
      </c>
      <c r="B28" s="119" t="str">
        <f>IF(ROUND(C11-'Compte de résultat'!$B$22,2)=0,"✓ Concordant","✗ Écart")</f>
        <v>✓ Concordant</v>
      </c>
    </row>
    <row r="29"/>
    <row r="30" ht="16" customHeight="1">
      <c r="A30" s="104" t="inlineStr">
        <is>
          <t>Le bilan présente l'emprunt sur une seule ligne (2450) ; la ventilation court / long terme ci-dessus est l'information à donner dans l'annexe ou par un sous-compte 2400.</t>
        </is>
      </c>
    </row>
    <row r="31"/>
  </sheetData>
  <mergeCells count="1">
    <mergeCell ref="A30:F31"/>
  </mergeCells>
  <hyperlinks>
    <hyperlink ref="H1" location="'Sommaire'!A1" display="← Sommaire"/>
  </hyperlinks>
  <printOptions horizontalCentered="1"/>
  <pageMargins left="0.5" right="0.5" top="0.6" bottom="0.7" header="0.5" footer="0.5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Q13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.8" customWidth="1" min="1" max="1"/>
    <col width="22.7" customWidth="1" min="2" max="2"/>
    <col width="12.8" customWidth="1" min="3" max="3"/>
    <col width="13" customWidth="1" min="4" max="4"/>
    <col width="16.1" customWidth="1" min="5" max="5"/>
    <col width="10.7" customWidth="1" min="6" max="6"/>
    <col width="12.7" customWidth="1" min="7" max="7"/>
    <col width="12.7" customWidth="1" min="9" max="9"/>
    <col width="16" customWidth="1" min="10" max="10"/>
    <col width="13" customWidth="1" min="16" max="16"/>
  </cols>
  <sheetData>
    <row r="1" ht="26" customHeight="1">
      <c r="A1" s="93" t="inlineStr">
        <is>
          <t>Balance âgée des débiteurs</t>
        </is>
      </c>
      <c r="P1" s="76" t="inlineStr">
        <is>
          <t>← Sommaire</t>
        </is>
      </c>
    </row>
    <row r="2">
      <c r="A2" s="117" t="inlineStr">
        <is>
          <t>Date d'analyse :</t>
        </is>
      </c>
      <c r="B2" s="143" t="n">
        <v>46022</v>
      </c>
      <c r="D2" s="115" t="inlineStr">
        <is>
          <t>(= total compte 1100)</t>
        </is>
      </c>
    </row>
    <row r="3">
      <c r="I3" s="93" t="inlineStr">
        <is>
          <t>Synthèse par tranche</t>
        </is>
      </c>
    </row>
    <row r="4">
      <c r="A4" s="94" t="inlineStr">
        <is>
          <t>Facture</t>
        </is>
      </c>
      <c r="B4" s="94" t="inlineStr">
        <is>
          <t>Client</t>
        </is>
      </c>
      <c r="C4" s="94" t="inlineStr">
        <is>
          <t>Émission</t>
        </is>
      </c>
      <c r="D4" s="94" t="inlineStr">
        <is>
          <t>Échéance</t>
        </is>
      </c>
      <c r="E4" s="94" t="inlineStr">
        <is>
          <t>Montant</t>
        </is>
      </c>
      <c r="F4" s="94" t="inlineStr">
        <is>
          <t>Retard (j)</t>
        </is>
      </c>
      <c r="G4" s="94" t="inlineStr">
        <is>
          <t>Tranche</t>
        </is>
      </c>
    </row>
    <row r="5">
      <c r="A5" s="96" t="inlineStr">
        <is>
          <t>F-2025-041</t>
        </is>
      </c>
      <c r="B5" s="96" t="inlineStr">
        <is>
          <t>Constructa SA</t>
        </is>
      </c>
      <c r="C5" s="130" t="n">
        <v>46011</v>
      </c>
      <c r="D5" s="130" t="n">
        <v>46041</v>
      </c>
      <c r="E5" s="119" t="n">
        <v>8600</v>
      </c>
      <c r="F5" s="95">
        <f>MAX(0,$B$2-D5)</f>
        <v>0</v>
      </c>
      <c r="G5" s="95" t="str">
        <f>IF(F5=0,"Non échu",IF(F5&lt;=30,"1–30 j",IF(F5&lt;=60,"31–60 j",IF(F5&lt;=90,"61–90 j","&gt; 90 j"))))</f>
        <v>Non échu</v>
      </c>
      <c r="I5" s="94" t="inlineStr">
        <is>
          <t>Tranche</t>
        </is>
      </c>
      <c r="J5" s="94" t="inlineStr">
        <is>
          <t>Montant</t>
        </is>
      </c>
    </row>
    <row r="6">
      <c r="A6" s="96" t="inlineStr">
        <is>
          <t>F-2025-039</t>
        </is>
      </c>
      <c r="B6" s="96" t="inlineStr">
        <is>
          <t>Bureau Vert Sàrl</t>
        </is>
      </c>
      <c r="C6" s="130" t="n">
        <v>45996</v>
      </c>
      <c r="D6" s="130" t="n">
        <v>46026</v>
      </c>
      <c r="E6" s="119" t="n">
        <v>5400</v>
      </c>
      <c r="F6" s="95">
        <f>MAX(0,$B$2-D6)</f>
        <v>0</v>
      </c>
      <c r="G6" s="95" t="str">
        <f>IF(F6=0,"Non échu",IF(F6&lt;=30,"1–30 j",IF(F6&lt;=60,"31–60 j",IF(F6&lt;=90,"61–90 j","&gt; 90 j"))))</f>
        <v>Non échu</v>
      </c>
      <c r="I6" s="96" t="inlineStr">
        <is>
          <t>Non échu</t>
        </is>
      </c>
      <c r="J6" s="119">
        <f>SUMIF($G$5:$G$12,I6,$E$5:$E$12)</f>
        <v>14000</v>
      </c>
    </row>
    <row r="7">
      <c r="A7" s="96" t="inlineStr">
        <is>
          <t>F-2025-036</t>
        </is>
      </c>
      <c r="B7" s="96" t="inlineStr">
        <is>
          <t>Menuiserie Alpina</t>
        </is>
      </c>
      <c r="C7" s="130" t="n">
        <v>45983</v>
      </c>
      <c r="D7" s="130" t="n">
        <v>46013</v>
      </c>
      <c r="E7" s="119" t="n">
        <v>4200</v>
      </c>
      <c r="F7" s="95">
        <f>MAX(0,$B$2-D7)</f>
        <v>9</v>
      </c>
      <c r="G7" s="95" t="str">
        <f>IF(F7=0,"Non échu",IF(F7&lt;=30,"1–30 j",IF(F7&lt;=60,"31–60 j",IF(F7&lt;=90,"61–90 j","&gt; 90 j"))))</f>
        <v>1–30 j</v>
      </c>
      <c r="I7" s="96" t="inlineStr">
        <is>
          <t>1–30 j</t>
        </is>
      </c>
      <c r="J7" s="119">
        <f>SUMIF($G$5:$G$12,I7,$E$5:$E$12)</f>
        <v>7300</v>
      </c>
    </row>
    <row r="8">
      <c r="A8" s="96" t="inlineStr">
        <is>
          <t>F-2025-034</t>
        </is>
      </c>
      <c r="B8" s="96" t="inlineStr">
        <is>
          <t>Résidence du Lac</t>
        </is>
      </c>
      <c r="C8" s="130" t="n">
        <v>45969</v>
      </c>
      <c r="D8" s="130" t="n">
        <v>45999</v>
      </c>
      <c r="E8" s="119" t="n">
        <v>3100</v>
      </c>
      <c r="F8" s="95">
        <f>MAX(0,$B$2-D8)</f>
        <v>23</v>
      </c>
      <c r="G8" s="95" t="str">
        <f>IF(F8=0,"Non échu",IF(F8&lt;=30,"1–30 j",IF(F8&lt;=60,"31–60 j",IF(F8&lt;=90,"61–90 j","&gt; 90 j"))))</f>
        <v>1–30 j</v>
      </c>
      <c r="I8" s="96" t="inlineStr">
        <is>
          <t>31–60 j</t>
        </is>
      </c>
      <c r="J8" s="119">
        <f>SUMIF($G$5:$G$12,I8,$E$5:$E$12)</f>
        <v>4630</v>
      </c>
    </row>
    <row r="9">
      <c r="A9" s="96" t="inlineStr">
        <is>
          <t>F-2025-031</t>
        </is>
      </c>
      <c r="B9" s="96" t="inlineStr">
        <is>
          <t>Atelier Rive SA</t>
        </is>
      </c>
      <c r="C9" s="130" t="n">
        <v>45958</v>
      </c>
      <c r="D9" s="130" t="n">
        <v>45988</v>
      </c>
      <c r="E9" s="119" t="n">
        <v>2650</v>
      </c>
      <c r="F9" s="95">
        <f>MAX(0,$B$2-D9)</f>
        <v>34</v>
      </c>
      <c r="G9" s="95" t="str">
        <f>IF(F9=0,"Non échu",IF(F9&lt;=30,"1–30 j",IF(F9&lt;=60,"31–60 j",IF(F9&lt;=90,"61–90 j","&gt; 90 j"))))</f>
        <v>31–60 j</v>
      </c>
      <c r="I9" s="96" t="inlineStr">
        <is>
          <t>61–90 j</t>
        </is>
      </c>
      <c r="J9" s="119">
        <f>SUMIF($G$5:$G$12,I9,$E$5:$E$12)</f>
        <v>1500</v>
      </c>
    </row>
    <row r="10">
      <c r="A10" s="96" t="inlineStr">
        <is>
          <t>F-2025-028</t>
        </is>
      </c>
      <c r="B10" s="96" t="inlineStr">
        <is>
          <t>Cabinet Dupraz</t>
        </is>
      </c>
      <c r="C10" s="130" t="n">
        <v>45940</v>
      </c>
      <c r="D10" s="130" t="n">
        <v>45970</v>
      </c>
      <c r="E10" s="119" t="n">
        <v>1980</v>
      </c>
      <c r="F10" s="95">
        <f>MAX(0,$B$2-D10)</f>
        <v>52</v>
      </c>
      <c r="G10" s="95" t="str">
        <f>IF(F10=0,"Non échu",IF(F10&lt;=30,"1–30 j",IF(F10&lt;=60,"31–60 j",IF(F10&lt;=90,"61–90 j","&gt; 90 j"))))</f>
        <v>31–60 j</v>
      </c>
      <c r="I10" s="96" t="inlineStr">
        <is>
          <t>&gt; 90 j</t>
        </is>
      </c>
      <c r="J10" s="119">
        <f>SUMIF($G$5:$G$12,I10,$E$5:$E$12)</f>
        <v>32100</v>
      </c>
    </row>
    <row r="11">
      <c r="A11" s="96" t="inlineStr">
        <is>
          <t>F-2025-024</t>
        </is>
      </c>
      <c r="B11" s="96" t="inlineStr">
        <is>
          <t>Ébénisterie Jura</t>
        </is>
      </c>
      <c r="C11" s="130" t="n">
        <v>45915</v>
      </c>
      <c r="D11" s="130" t="n">
        <v>45945</v>
      </c>
      <c r="E11" s="119" t="n">
        <v>1500</v>
      </c>
      <c r="F11" s="95">
        <f>MAX(0,$B$2-D11)</f>
        <v>77</v>
      </c>
      <c r="G11" s="95" t="str">
        <f>IF(F11=0,"Non échu",IF(F11&lt;=30,"1–30 j",IF(F11&lt;=60,"31–60 j",IF(F11&lt;=90,"61–90 j","&gt; 90 j"))))</f>
        <v>61–90 j</v>
      </c>
    </row>
    <row r="12">
      <c r="A12" s="96" t="inlineStr">
        <is>
          <t>F-2025-019</t>
        </is>
      </c>
      <c r="B12" s="96" t="inlineStr">
        <is>
          <t>Divers clients</t>
        </is>
      </c>
      <c r="C12" s="130" t="n">
        <v>45889</v>
      </c>
      <c r="D12" s="130" t="n">
        <v>45919</v>
      </c>
      <c r="E12" s="119" t="n">
        <v>4670</v>
      </c>
      <c r="F12" s="95">
        <f>MAX(0,$B$2-D12)</f>
        <v>103</v>
      </c>
      <c r="G12" s="95" t="str">
        <f>IF(F12=0,"Non échu",IF(F12&lt;=30,"1–30 j",IF(F12&lt;=60,"31–60 j",IF(F12&lt;=90,"61–90 j","&gt; 90 j"))))</f>
        <v>&gt; 90 j</v>
      </c>
    </row>
    <row r="13">
      <c r="B13" s="121" t="inlineStr">
        <is>
          <t>Total</t>
        </is>
      </c>
      <c r="E13" s="122">
        <f>SUM(E5:E12)</f>
        <v>32100</v>
      </c>
    </row>
  </sheetData>
  <conditionalFormatting sqref="F5:F12">
    <cfRule type="cellIs" priority="1" operator="greaterThan" dxfId="0">
      <formula>60</formula>
    </cfRule>
  </conditionalFormatting>
  <hyperlinks>
    <hyperlink ref="P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  <drawing xmlns:r="http://schemas.openxmlformats.org/officeDocument/2006/relationships" r:id="rId1"/>
</worksheet>
</file>

<file path=xl/worksheets/sheet12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G24"/>
  <sheetViews>
    <sheetView showGridLines="0" zoomScale="100" workbookViewId="0">
      <selection activeCell="A1" sqref="A1"/>
    </sheetView>
  </sheetViews>
  <sheetFormatPr baseColWidth="8" defaultRowHeight="15"/>
  <cols>
    <col width="50.5" customWidth="1" min="1" max="1"/>
    <col width="16.7" customWidth="1" min="2" max="2"/>
    <col width="13" customWidth="1" min="6" max="6"/>
  </cols>
  <sheetData>
    <row r="1" ht="26" customHeight="1">
      <c r="A1" s="93" t="inlineStr">
        <is>
          <t>Tableau de flux de trésorerie (méthode indirecte)</t>
        </is>
      </c>
      <c r="F1" s="76" t="inlineStr">
        <is>
          <t>← Sommaire</t>
        </is>
      </c>
    </row>
    <row r="2"/>
    <row r="3">
      <c r="A3" s="144" t="inlineStr">
        <is>
          <t>Résultat net (après impôts)</t>
        </is>
      </c>
      <c r="B3" s="145">
        <f>'Compte de résultat'!$B$25</f>
        <v>9918.08000000001</v>
      </c>
    </row>
    <row r="4">
      <c r="A4" s="144" t="inlineStr">
        <is>
          <t>+ Amortissements (sans effet de trésorerie)</t>
        </is>
      </c>
      <c r="B4" s="145">
        <f>'Compte de résultat'!$B$17</f>
        <v>12400</v>
      </c>
    </row>
    <row r="5">
      <c r="A5" s="144" t="inlineStr">
        <is>
          <t>− Augmentation des créances clients</t>
        </is>
      </c>
      <c r="B5" s="145">
        <f>-'Bilan'!$B$6</f>
        <v>-32100</v>
      </c>
    </row>
    <row r="6">
      <c r="A6" s="144" t="inlineStr">
        <is>
          <t>− Augmentation du stock</t>
        </is>
      </c>
      <c r="B6" s="145">
        <f>-'Bilan'!$B$8</f>
        <v>-5000</v>
      </c>
    </row>
    <row r="7">
      <c r="A7" s="144" t="inlineStr">
        <is>
          <t>− Augmentation des actifs de régularisation</t>
        </is>
      </c>
      <c r="B7" s="145">
        <f>-'Bilan'!$B$9</f>
        <v>-240</v>
      </c>
    </row>
    <row r="8">
      <c r="A8" s="144" t="inlineStr">
        <is>
          <t>+ Augmentation des dettes fournisseurs</t>
        </is>
      </c>
      <c r="B8" s="145">
        <f>'Bilan'!$F$4</f>
        <v>8780</v>
      </c>
    </row>
    <row r="9">
      <c r="A9" s="144" t="inlineStr">
        <is>
          <t>+ Augmentation de la TVA due (nette)</t>
        </is>
      </c>
      <c r="B9" s="145">
        <f>'Bilan'!$F$5-'Bilan'!$B$7</f>
        <v>4339.17</v>
      </c>
    </row>
    <row r="10">
      <c r="A10" s="144" t="inlineStr">
        <is>
          <t>+ Augmentation des dettes sociales</t>
        </is>
      </c>
      <c r="B10" s="145">
        <f>'Bilan'!$F$6</f>
        <v>5211.97</v>
      </c>
    </row>
    <row r="11">
      <c r="A11" s="144" t="inlineStr">
        <is>
          <t>+ Augmentation des passifs de régularisation</t>
        </is>
      </c>
      <c r="B11" s="145">
        <f>'Bilan'!$F$7</f>
        <v>450</v>
      </c>
    </row>
    <row r="12">
      <c r="A12" s="144" t="inlineStr">
        <is>
          <t>+ Augmentation de la provision pour impôts</t>
        </is>
      </c>
      <c r="B12" s="145">
        <f>'Bilan'!$F$8</f>
        <v>1922.9</v>
      </c>
    </row>
    <row r="13">
      <c r="A13" s="117" t="inlineStr">
        <is>
          <t>= Flux de trésorerie d'exploitation</t>
        </is>
      </c>
      <c r="B13" s="146">
        <f>SUM(B3:B12)</f>
        <v>5682.12000000001</v>
      </c>
    </row>
    <row r="14">
      <c r="A14" s="144" t="inlineStr">
        <is>
          <t>− Acquisitions d'immobilisations (valeur d'acquisition HT)</t>
        </is>
      </c>
      <c r="B14" s="145">
        <f>-SUM('Immobilisations'!$D$5:$D$7)</f>
        <v>-62000</v>
      </c>
    </row>
    <row r="15">
      <c r="A15" s="117" t="inlineStr">
        <is>
          <t>= Flux d'investissement</t>
        </is>
      </c>
      <c r="B15" s="146">
        <f>B14</f>
        <v>-62000</v>
      </c>
    </row>
    <row r="16">
      <c r="A16" s="144" t="inlineStr">
        <is>
          <t>+ Apport de capital</t>
        </is>
      </c>
      <c r="B16" s="145">
        <f>'Bilan'!$F$10</f>
        <v>90000</v>
      </c>
    </row>
    <row r="17">
      <c r="A17" s="144" t="inlineStr">
        <is>
          <t>+ Emprunt bancaire</t>
        </is>
      </c>
      <c r="B17" s="145">
        <f>'Bilan'!$F$9</f>
        <v>40000</v>
      </c>
    </row>
    <row r="18">
      <c r="A18" s="117" t="inlineStr">
        <is>
          <t>= Flux de financement</t>
        </is>
      </c>
      <c r="B18" s="146">
        <f>SUM(B16:B17)</f>
        <v>130000</v>
      </c>
    </row>
    <row r="19">
      <c r="A19" s="117" t="inlineStr">
        <is>
          <t>VARIATION DE TRÉSORERIE</t>
        </is>
      </c>
      <c r="B19" s="147">
        <f>B13+B15+B18</f>
        <v>73682.12</v>
      </c>
    </row>
    <row r="20">
      <c r="A20" s="117" t="inlineStr">
        <is>
          <t>Trésorerie au 31.12 (caisse + banque, selon balance)</t>
        </is>
      </c>
      <c r="B20" s="146">
        <f>'Bilan'!$B$4+'Bilan'!$B$5</f>
        <v>73682.12</v>
      </c>
    </row>
    <row r="21"/>
    <row r="22">
      <c r="A22" s="106" t="inlineStr">
        <is>
          <t>Contrôle :</t>
        </is>
      </c>
      <c r="B22" s="123" t="str">
        <f>IF(ROUND(B19-B20,2)=0,"✓ Variation = trésorerie","✗ Écart")</f>
        <v>✓ Variation = trésorerie</v>
      </c>
    </row>
    <row r="23"/>
    <row r="24">
      <c r="A24" s="103" t="inlineStr">
        <is>
          <t>Exercice de création (01.01.2025) : soldes d'ouverture nuls, les variations correspondent aux soldes au 31.12. Investissements repris du registre des immobilisations.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ref="F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J19"/>
  <sheetViews>
    <sheetView showGridLines="0" zoomScale="100" workbookViewId="0">
      <selection activeCell="A1" sqref="A1"/>
    </sheetView>
  </sheetViews>
  <sheetFormatPr baseColWidth="8" defaultRowHeight="15"/>
  <cols>
    <col width="10.7" customWidth="1" min="1" max="1"/>
    <col width="14.5" customWidth="1" min="2" max="2"/>
    <col width="14.5" customWidth="1" min="3" max="3"/>
    <col width="13" customWidth="1" min="4" max="4"/>
    <col width="14.5" customWidth="1" min="5" max="5"/>
    <col width="14.5" customWidth="1" min="6" max="6"/>
    <col width="13.3" customWidth="1" min="7" max="7"/>
    <col width="13" customWidth="1" min="9" max="9"/>
  </cols>
  <sheetData>
    <row r="1" ht="26" customHeight="1">
      <c r="A1" s="93" t="inlineStr">
        <is>
          <t>Budget vs Réel — analyse des écarts</t>
        </is>
      </c>
      <c r="I1" s="76" t="inlineStr">
        <is>
          <t>← Sommaire</t>
        </is>
      </c>
    </row>
    <row r="2"/>
    <row r="3">
      <c r="A3" s="94" t="inlineStr">
        <is>
          <t>Mois</t>
        </is>
      </c>
      <c r="B3" s="94" t="inlineStr">
        <is>
          <t>CA budget</t>
        </is>
      </c>
      <c r="C3" s="94" t="inlineStr">
        <is>
          <t>CA réel</t>
        </is>
      </c>
      <c r="D3" s="94" t="inlineStr">
        <is>
          <t>Écart CA</t>
        </is>
      </c>
      <c r="E3" s="94" t="inlineStr">
        <is>
          <t>Ch. budget</t>
        </is>
      </c>
      <c r="F3" s="94" t="inlineStr">
        <is>
          <t>Ch. réel</t>
        </is>
      </c>
      <c r="G3" s="94" t="inlineStr">
        <is>
          <t>Écart ch.</t>
        </is>
      </c>
    </row>
    <row r="4">
      <c r="A4" s="95" t="inlineStr">
        <is>
          <t>Jan</t>
        </is>
      </c>
      <c r="B4" s="101" t="n">
        <v>17800</v>
      </c>
      <c r="C4" s="101">
        <f>SUMPRODUCT((MONTH(tblJournal[Date])=1)*(LEFT(tblJournal[Crédit],1)="3")*tblJournal[Montant HT])-SUMPRODUCT((MONTH(tblJournal[Date])=1)*(LEFT(tblJournal[Débit],1)="3")*tblJournal[Montant HT])</f>
        <v>14000</v>
      </c>
      <c r="D4" s="101">
        <f>C4-B4</f>
        <v>-3800</v>
      </c>
      <c r="E4" s="101" t="n">
        <v>16800</v>
      </c>
      <c r="F4" s="101">
        <f>SUMPRODUCT((MONTH(tblJournal[Date])=1)*((LEFT(tblJournal[Débit],1)="4")+(LEFT(tblJournal[Débit],1)="5")+(LEFT(tblJournal[Débit],1)="6"))*tblJournal[Montant HT])-SUMPRODUCT((MONTH(tblJournal[Date])=1)*((LEFT(tblJournal[Crédit],1)="4")+(LEFT(tblJournal[Crédit],1)="5")+(LEFT(tblJournal[Crédit],1)="6"))*tblJournal[Montant HT])</f>
        <v>15062.42</v>
      </c>
      <c r="G4" s="101">
        <f>F4-E4</f>
        <v>-1737.58</v>
      </c>
    </row>
    <row r="5">
      <c r="A5" s="95" t="inlineStr">
        <is>
          <t>Fév</t>
        </is>
      </c>
      <c r="B5" s="101" t="n">
        <v>17800</v>
      </c>
      <c r="C5" s="101">
        <f>SUMPRODUCT((MONTH(tblJournal[Date])=2)*(LEFT(tblJournal[Crédit],1)="3")*tblJournal[Montant HT])-SUMPRODUCT((MONTH(tblJournal[Date])=2)*(LEFT(tblJournal[Débit],1)="3")*tblJournal[Montant HT])</f>
        <v>15000</v>
      </c>
      <c r="D5" s="101">
        <f>C5-B5</f>
        <v>-2800</v>
      </c>
      <c r="E5" s="101" t="n">
        <v>16800</v>
      </c>
      <c r="F5" s="101">
        <f>SUMPRODUCT((MONTH(tblJournal[Date])=2)*((LEFT(tblJournal[Débit],1)="4")+(LEFT(tblJournal[Débit],1)="5")+(LEFT(tblJournal[Débit],1)="6"))*tblJournal[Montant HT])-SUMPRODUCT((MONTH(tblJournal[Date])=2)*((LEFT(tblJournal[Crédit],1)="4")+(LEFT(tblJournal[Crédit],1)="5")+(LEFT(tblJournal[Crédit],1)="6"))*tblJournal[Montant HT])</f>
        <v>15202.42</v>
      </c>
      <c r="G5" s="101">
        <f>F5-E5</f>
        <v>-1597.58</v>
      </c>
    </row>
    <row r="6">
      <c r="A6" s="95" t="inlineStr">
        <is>
          <t>Mar</t>
        </is>
      </c>
      <c r="B6" s="101" t="n">
        <v>17800</v>
      </c>
      <c r="C6" s="101">
        <f>SUMPRODUCT((MONTH(tblJournal[Date])=3)*(LEFT(tblJournal[Crédit],1)="3")*tblJournal[Montant HT])-SUMPRODUCT((MONTH(tblJournal[Date])=3)*(LEFT(tblJournal[Débit],1)="3")*tblJournal[Montant HT])</f>
        <v>15600</v>
      </c>
      <c r="D6" s="101">
        <f>C6-B6</f>
        <v>-2200</v>
      </c>
      <c r="E6" s="101" t="n">
        <v>16800</v>
      </c>
      <c r="F6" s="101">
        <f>SUMPRODUCT((MONTH(tblJournal[Date])=3)*((LEFT(tblJournal[Débit],1)="4")+(LEFT(tblJournal[Débit],1)="5")+(LEFT(tblJournal[Débit],1)="6"))*tblJournal[Montant HT])-SUMPRODUCT((MONTH(tblJournal[Date])=3)*((LEFT(tblJournal[Crédit],1)="4")+(LEFT(tblJournal[Crédit],1)="5")+(LEFT(tblJournal[Crédit],1)="6"))*tblJournal[Montant HT])</f>
        <v>15072.42</v>
      </c>
      <c r="G6" s="101">
        <f>F6-E6</f>
        <v>-1727.58</v>
      </c>
    </row>
    <row r="7">
      <c r="A7" s="95" t="inlineStr">
        <is>
          <t>Avr</t>
        </is>
      </c>
      <c r="B7" s="101" t="n">
        <v>17800</v>
      </c>
      <c r="C7" s="101">
        <f>SUMPRODUCT((MONTH(tblJournal[Date])=4)*(LEFT(tblJournal[Crédit],1)="3")*tblJournal[Montant HT])-SUMPRODUCT((MONTH(tblJournal[Date])=4)*(LEFT(tblJournal[Débit],1)="3")*tblJournal[Montant HT])</f>
        <v>17500</v>
      </c>
      <c r="D7" s="101">
        <f>C7-B7</f>
        <v>-300</v>
      </c>
      <c r="E7" s="101" t="n">
        <v>16800</v>
      </c>
      <c r="F7" s="101">
        <f>SUMPRODUCT((MONTH(tblJournal[Date])=4)*((LEFT(tblJournal[Débit],1)="4")+(LEFT(tblJournal[Débit],1)="5")+(LEFT(tblJournal[Débit],1)="6"))*tblJournal[Montant HT])-SUMPRODUCT((MONTH(tblJournal[Date])=4)*((LEFT(tblJournal[Crédit],1)="4")+(LEFT(tblJournal[Crédit],1)="5")+(LEFT(tblJournal[Crédit],1)="6"))*tblJournal[Montant HT])</f>
        <v>15102.42</v>
      </c>
      <c r="G7" s="101">
        <f>F7-E7</f>
        <v>-1697.58</v>
      </c>
    </row>
    <row r="8">
      <c r="A8" s="95" t="inlineStr">
        <is>
          <t>Mai</t>
        </is>
      </c>
      <c r="B8" s="101" t="n">
        <v>17800</v>
      </c>
      <c r="C8" s="101">
        <f>SUMPRODUCT((MONTH(tblJournal[Date])=5)*(LEFT(tblJournal[Crédit],1)="3")*tblJournal[Montant HT])-SUMPRODUCT((MONTH(tblJournal[Date])=5)*(LEFT(tblJournal[Débit],1)="3")*tblJournal[Montant HT])</f>
        <v>18900</v>
      </c>
      <c r="D8" s="101">
        <f>C8-B8</f>
        <v>1100</v>
      </c>
      <c r="E8" s="101" t="n">
        <v>16800</v>
      </c>
      <c r="F8" s="101">
        <f>SUMPRODUCT((MONTH(tblJournal[Date])=5)*((LEFT(tblJournal[Débit],1)="4")+(LEFT(tblJournal[Débit],1)="5")+(LEFT(tblJournal[Débit],1)="6"))*tblJournal[Montant HT])-SUMPRODUCT((MONTH(tblJournal[Date])=5)*((LEFT(tblJournal[Crédit],1)="4")+(LEFT(tblJournal[Crédit],1)="5")+(LEFT(tblJournal[Crédit],1)="6"))*tblJournal[Montant HT])</f>
        <v>16612.42</v>
      </c>
      <c r="G8" s="101">
        <f>F8-E8</f>
        <v>-187.580000000002</v>
      </c>
    </row>
    <row r="9">
      <c r="A9" s="95" t="inlineStr">
        <is>
          <t>Juin</t>
        </is>
      </c>
      <c r="B9" s="101" t="n">
        <v>17800</v>
      </c>
      <c r="C9" s="101">
        <f>SUMPRODUCT((MONTH(tblJournal[Date])=6)*(LEFT(tblJournal[Crédit],1)="3")*tblJournal[Montant HT])-SUMPRODUCT((MONTH(tblJournal[Date])=6)*(LEFT(tblJournal[Débit],1)="3")*tblJournal[Montant HT])</f>
        <v>20300</v>
      </c>
      <c r="D9" s="101">
        <f>C9-B9</f>
        <v>2500</v>
      </c>
      <c r="E9" s="101" t="n">
        <v>16800</v>
      </c>
      <c r="F9" s="101">
        <f>SUMPRODUCT((MONTH(tblJournal[Date])=6)*((LEFT(tblJournal[Débit],1)="4")+(LEFT(tblJournal[Débit],1)="5")+(LEFT(tblJournal[Débit],1)="6"))*tblJournal[Montant HT])-SUMPRODUCT((MONTH(tblJournal[Date])=6)*((LEFT(tblJournal[Crédit],1)="4")+(LEFT(tblJournal[Crédit],1)="5")+(LEFT(tblJournal[Crédit],1)="6"))*tblJournal[Montant HT])</f>
        <v>15862.42</v>
      </c>
      <c r="G9" s="101">
        <f>F9-E9</f>
        <v>-937.58</v>
      </c>
    </row>
    <row r="10">
      <c r="A10" s="95" t="inlineStr">
        <is>
          <t>Juil</t>
        </is>
      </c>
      <c r="B10" s="101" t="n">
        <v>17800</v>
      </c>
      <c r="C10" s="101">
        <f>SUMPRODUCT((MONTH(tblJournal[Date])=7)*(LEFT(tblJournal[Crédit],1)="3")*tblJournal[Montant HT])-SUMPRODUCT((MONTH(tblJournal[Date])=7)*(LEFT(tblJournal[Débit],1)="3")*tblJournal[Montant HT])</f>
        <v>11800</v>
      </c>
      <c r="D10" s="101">
        <f>C10-B10</f>
        <v>-6000</v>
      </c>
      <c r="E10" s="101" t="n">
        <v>16800</v>
      </c>
      <c r="F10" s="101">
        <f>SUMPRODUCT((MONTH(tblJournal[Date])=7)*((LEFT(tblJournal[Débit],1)="4")+(LEFT(tblJournal[Débit],1)="5")+(LEFT(tblJournal[Débit],1)="6"))*tblJournal[Montant HT])-SUMPRODUCT((MONTH(tblJournal[Date])=7)*((LEFT(tblJournal[Crédit],1)="4")+(LEFT(tblJournal[Crédit],1)="5")+(LEFT(tblJournal[Crédit],1)="6"))*tblJournal[Montant HT])</f>
        <v>14032.42</v>
      </c>
      <c r="G10" s="101">
        <f>F10-E10</f>
        <v>-2767.58</v>
      </c>
    </row>
    <row r="11">
      <c r="A11" s="95" t="inlineStr">
        <is>
          <t>Août</t>
        </is>
      </c>
      <c r="B11" s="101" t="n">
        <v>17800</v>
      </c>
      <c r="C11" s="101">
        <f>SUMPRODUCT((MONTH(tblJournal[Date])=8)*(LEFT(tblJournal[Crédit],1)="3")*tblJournal[Montant HT])-SUMPRODUCT((MONTH(tblJournal[Date])=8)*(LEFT(tblJournal[Débit],1)="3")*tblJournal[Montant HT])</f>
        <v>10200</v>
      </c>
      <c r="D11" s="101">
        <f>C11-B11</f>
        <v>-7600</v>
      </c>
      <c r="E11" s="101" t="n">
        <v>16800</v>
      </c>
      <c r="F11" s="101">
        <f>SUMPRODUCT((MONTH(tblJournal[Date])=8)*((LEFT(tblJournal[Débit],1)="4")+(LEFT(tblJournal[Débit],1)="5")+(LEFT(tblJournal[Débit],1)="6"))*tblJournal[Montant HT])-SUMPRODUCT((MONTH(tblJournal[Date])=8)*((LEFT(tblJournal[Crédit],1)="4")+(LEFT(tblJournal[Crédit],1)="5")+(LEFT(tblJournal[Crédit],1)="6"))*tblJournal[Montant HT])</f>
        <v>13542.42</v>
      </c>
      <c r="G11" s="101">
        <f>F11-E11</f>
        <v>-3257.58</v>
      </c>
    </row>
    <row r="12">
      <c r="A12" s="95" t="inlineStr">
        <is>
          <t>Sep</t>
        </is>
      </c>
      <c r="B12" s="101" t="n">
        <v>17800</v>
      </c>
      <c r="C12" s="101">
        <f>SUMPRODUCT((MONTH(tblJournal[Date])=9)*(LEFT(tblJournal[Crédit],1)="3")*tblJournal[Montant HT])-SUMPRODUCT((MONTH(tblJournal[Date])=9)*(LEFT(tblJournal[Débit],1)="3")*tblJournal[Montant HT])</f>
        <v>20800</v>
      </c>
      <c r="D12" s="101">
        <f>C12-B12</f>
        <v>3000</v>
      </c>
      <c r="E12" s="101" t="n">
        <v>16800</v>
      </c>
      <c r="F12" s="101">
        <f>SUMPRODUCT((MONTH(tblJournal[Date])=9)*((LEFT(tblJournal[Débit],1)="4")+(LEFT(tblJournal[Débit],1)="5")+(LEFT(tblJournal[Débit],1)="6"))*tblJournal[Montant HT])-SUMPRODUCT((MONTH(tblJournal[Date])=9)*((LEFT(tblJournal[Crédit],1)="4")+(LEFT(tblJournal[Crédit],1)="5")+(LEFT(tblJournal[Crédit],1)="6"))*tblJournal[Montant HT])</f>
        <v>17142.42</v>
      </c>
      <c r="G12" s="101">
        <f>F12-E12</f>
        <v>342.419999999998</v>
      </c>
    </row>
    <row r="13">
      <c r="A13" s="95" t="inlineStr">
        <is>
          <t>Oct</t>
        </is>
      </c>
      <c r="B13" s="101" t="n">
        <v>17800</v>
      </c>
      <c r="C13" s="101">
        <f>SUMPRODUCT((MONTH(tblJournal[Date])=10)*(LEFT(tblJournal[Crédit],1)="3")*tblJournal[Montant HT])-SUMPRODUCT((MONTH(tblJournal[Date])=10)*(LEFT(tblJournal[Débit],1)="3")*tblJournal[Montant HT])</f>
        <v>22500</v>
      </c>
      <c r="D13" s="101">
        <f>C13-B13</f>
        <v>4700</v>
      </c>
      <c r="E13" s="101" t="n">
        <v>16800</v>
      </c>
      <c r="F13" s="101">
        <f>SUMPRODUCT((MONTH(tblJournal[Date])=10)*((LEFT(tblJournal[Débit],1)="4")+(LEFT(tblJournal[Débit],1)="5")+(LEFT(tblJournal[Débit],1)="6"))*tblJournal[Montant HT])-SUMPRODUCT((MONTH(tblJournal[Date])=10)*((LEFT(tblJournal[Crédit],1)="4")+(LEFT(tblJournal[Crédit],1)="5")+(LEFT(tblJournal[Crédit],1)="6"))*tblJournal[Montant HT])</f>
        <v>16352.42</v>
      </c>
      <c r="G13" s="101">
        <f>F13-E13</f>
        <v>-447.58</v>
      </c>
    </row>
    <row r="14">
      <c r="A14" s="95" t="inlineStr">
        <is>
          <t>Nov</t>
        </is>
      </c>
      <c r="B14" s="101" t="n">
        <v>17800</v>
      </c>
      <c r="C14" s="101">
        <f>SUMPRODUCT((MONTH(tblJournal[Date])=11)*(LEFT(tblJournal[Crédit],1)="3")*tblJournal[Montant HT])-SUMPRODUCT((MONTH(tblJournal[Date])=11)*(LEFT(tblJournal[Débit],1)="3")*tblJournal[Montant HT])</f>
        <v>21500</v>
      </c>
      <c r="D14" s="101">
        <f>C14-B14</f>
        <v>3700</v>
      </c>
      <c r="E14" s="101" t="n">
        <v>16800</v>
      </c>
      <c r="F14" s="101">
        <f>SUMPRODUCT((MONTH(tblJournal[Date])=11)*((LEFT(tblJournal[Débit],1)="4")+(LEFT(tblJournal[Débit],1)="5")+(LEFT(tblJournal[Débit],1)="6"))*tblJournal[Montant HT])-SUMPRODUCT((MONTH(tblJournal[Date])=11)*((LEFT(tblJournal[Crédit],1)="4")+(LEFT(tblJournal[Crédit],1)="5")+(LEFT(tblJournal[Crédit],1)="6"))*tblJournal[Montant HT])</f>
        <v>16952.42</v>
      </c>
      <c r="G14" s="101">
        <f>F14-E14</f>
        <v>152.419999999998</v>
      </c>
    </row>
    <row r="15">
      <c r="A15" s="95" t="inlineStr">
        <is>
          <t>Déc</t>
        </is>
      </c>
      <c r="B15" s="101" t="n">
        <v>17800</v>
      </c>
      <c r="C15" s="101">
        <f>SUMPRODUCT((MONTH(tblJournal[Date])=12)*(LEFT(tblJournal[Crédit],1)="3")*tblJournal[Montant HT])-SUMPRODUCT((MONTH(tblJournal[Date])=12)*(LEFT(tblJournal[Débit],1)="3")*tblJournal[Montant HT])</f>
        <v>25900</v>
      </c>
      <c r="D15" s="101">
        <f>C15-B15</f>
        <v>8100</v>
      </c>
      <c r="E15" s="101" t="n">
        <v>16800</v>
      </c>
      <c r="F15" s="101">
        <f>SUMPRODUCT((MONTH(tblJournal[Date])=12)*((LEFT(tblJournal[Débit],1)="4")+(LEFT(tblJournal[Débit],1)="5")+(LEFT(tblJournal[Débit],1)="6"))*tblJournal[Montant HT])-SUMPRODUCT((MONTH(tblJournal[Date])=12)*((LEFT(tblJournal[Crédit],1)="4")+(LEFT(tblJournal[Crédit],1)="5")+(LEFT(tblJournal[Crédit],1)="6"))*tblJournal[Montant HT])</f>
        <v>31222.4</v>
      </c>
      <c r="G15" s="101">
        <f>F15-E15</f>
        <v>14422.4</v>
      </c>
    </row>
    <row r="16">
      <c r="A16" s="121" t="inlineStr">
        <is>
          <t>Total</t>
        </is>
      </c>
      <c r="B16" s="136">
        <f>SUM(B4:B15)</f>
        <v>213600</v>
      </c>
      <c r="C16" s="136">
        <f>SUM(C4:C15)</f>
        <v>214000</v>
      </c>
      <c r="D16" s="136">
        <f>C16-B16</f>
        <v>400</v>
      </c>
      <c r="E16" s="136">
        <f>SUM(E4:E15)</f>
        <v>201600</v>
      </c>
      <c r="F16" s="136">
        <f>SUM(F4:F15)</f>
        <v>202159.02</v>
      </c>
      <c r="G16" s="136">
        <f>F16-E16</f>
        <v>559.01999999999</v>
      </c>
    </row>
    <row r="17"/>
    <row r="18">
      <c r="A18" s="115" t="inlineStr">
        <is>
          <t>Vert = favorable · Rouge = défavorable.</t>
        </is>
      </c>
    </row>
    <row r="19">
      <c r="A19" s="103" t="inlineStr">
        <is>
          <t>Réel : produits (classe 3) et charges (classes 4–6) du journal par mois, écritures de bouclement incluses.</t>
        </is>
      </c>
    </row>
  </sheetData>
  <conditionalFormatting sqref="D4:D15">
    <cfRule type="cellIs" priority="1" operator="greaterThanOrEqual" dxfId="1">
      <formula>0</formula>
    </cfRule>
    <cfRule type="cellIs" priority="2" operator="lessThan" dxfId="2">
      <formula>0</formula>
    </cfRule>
  </conditionalFormatting>
  <conditionalFormatting sqref="G4:G15">
    <cfRule type="cellIs" priority="3" operator="lessThanOrEqual" dxfId="1">
      <formula>0</formula>
    </cfRule>
    <cfRule type="cellIs" priority="4" operator="greaterThan" dxfId="2">
      <formula>0</formula>
    </cfRule>
  </conditionalFormatting>
  <hyperlinks>
    <hyperlink ref="I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14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F13"/>
  <sheetViews>
    <sheetView showGridLines="0" zoomScale="100" workbookViewId="0">
      <selection activeCell="A1" sqref="A1"/>
    </sheetView>
  </sheetViews>
  <sheetFormatPr baseColWidth="8" defaultRowHeight="15"/>
  <cols>
    <col width="50.9" customWidth="1" min="1" max="1"/>
    <col width="15.7" customWidth="1" min="2" max="2"/>
    <col width="15.8" customWidth="1" min="3" max="3"/>
    <col width="13" customWidth="1" min="5" max="5"/>
  </cols>
  <sheetData>
    <row r="1" ht="26" customHeight="1">
      <c r="A1" s="93" t="inlineStr">
        <is>
          <t>Budget prévisionnel 2026 (piloté par hypothèses)</t>
        </is>
      </c>
      <c r="E1" s="76" t="inlineStr">
        <is>
          <t>← Sommaire</t>
        </is>
      </c>
    </row>
    <row r="2"/>
    <row r="3">
      <c r="A3" s="117" t="inlineStr">
        <is>
          <t>Croissance du CA</t>
        </is>
      </c>
      <c r="B3" s="148" t="n">
        <v>0.08</v>
      </c>
    </row>
    <row r="4">
      <c r="A4" s="117" t="inlineStr">
        <is>
          <t>Inflation des charges</t>
        </is>
      </c>
      <c r="B4" s="148" t="n">
        <v>0.03</v>
      </c>
    </row>
    <row r="5">
      <c r="A5" s="115" t="inlineStr">
        <is>
          <t>Modifiez les cellules bleues → recalcul.</t>
        </is>
      </c>
    </row>
    <row r="6"/>
    <row r="7">
      <c r="A7" s="94" t="inlineStr">
        <is>
          <t>Poste</t>
        </is>
      </c>
      <c r="B7" s="94" t="inlineStr">
        <is>
          <t>Réel 2025</t>
        </is>
      </c>
      <c r="C7" s="94" t="inlineStr">
        <is>
          <t>Budget 2026</t>
        </is>
      </c>
    </row>
    <row r="8">
      <c r="A8" s="96" t="inlineStr">
        <is>
          <t>Chiffre d'affaires</t>
        </is>
      </c>
      <c r="B8" s="101">
        <f>'Compte de résultat'!$B$7</f>
        <v>214000</v>
      </c>
      <c r="C8" s="101">
        <f>'Compte de résultat'!$B$7*(1+$B$3)</f>
        <v>231120</v>
      </c>
    </row>
    <row r="9">
      <c r="A9" s="96" t="inlineStr">
        <is>
          <t>Charges d'exploitation</t>
        </is>
      </c>
      <c r="B9" s="101">
        <f>'Compte de résultat'!$B$18</f>
        <v>200359.02</v>
      </c>
      <c r="C9" s="101">
        <f>'Compte de résultat'!$B$18*(1+$B$4)</f>
        <v>206369.7906</v>
      </c>
    </row>
    <row r="10">
      <c r="A10" s="96" t="inlineStr">
        <is>
          <t>Charges financières</t>
        </is>
      </c>
      <c r="B10" s="101">
        <f>'Compte de résultat'!$B$22</f>
        <v>1800</v>
      </c>
      <c r="C10" s="101">
        <f>'Compte de résultat'!$B$22</f>
        <v>1800</v>
      </c>
    </row>
    <row r="11">
      <c r="A11" s="127" t="inlineStr">
        <is>
          <t>RÉSULTAT AVANT IMPÔTS PRÉVISIONNEL</t>
        </is>
      </c>
      <c r="B11" s="101">
        <f>B8-B9-B10</f>
        <v>11840.98</v>
      </c>
      <c r="C11" s="149">
        <f>C8-C9-C10</f>
        <v>22950.2094</v>
      </c>
    </row>
    <row r="12"/>
    <row r="13">
      <c r="A13" s="106" t="inlineStr">
        <is>
          <t>Croissance du résultat vs N :</t>
        </is>
      </c>
      <c r="B13" s="124">
        <f>C11/B11-1</f>
        <v>0.938201854914036</v>
      </c>
    </row>
  </sheetData>
  <hyperlinks>
    <hyperlink ref="E1" location="'Sommaire'!A1" display="← Sommaire"/>
  </hyperlinks>
  <printOptions horizontalCentered="1"/>
  <pageMargins left="0.5" right="0.5" top="0.6" bottom="0.7" header="0.3" footer="0.3"/>
  <pageSetup orientation="portrait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15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H15"/>
  <sheetViews>
    <sheetView showGridLines="0" zoomScale="100" workbookViewId="0">
      <selection activeCell="A1" sqref="A1"/>
    </sheetView>
  </sheetViews>
  <sheetFormatPr baseColWidth="8" defaultRowHeight="15"/>
  <cols>
    <col width="22.7" customWidth="1" min="1" max="1"/>
    <col width="14.7" customWidth="1" min="2" max="2"/>
    <col width="14.4" customWidth="1" min="3" max="3"/>
    <col width="14.4" customWidth="1" min="4" max="4"/>
    <col width="14" customWidth="1" min="5" max="5"/>
    <col width="13" customWidth="1" min="7" max="7"/>
  </cols>
  <sheetData>
    <row r="1" ht="26" customHeight="1">
      <c r="A1" s="93" t="inlineStr">
        <is>
          <t>Analyse de scénarios &amp; sensibilité</t>
        </is>
      </c>
      <c r="G1" s="76" t="inlineStr">
        <is>
          <t>← Sommaire</t>
        </is>
      </c>
    </row>
    <row r="2"/>
    <row r="3">
      <c r="A3" s="94" t="inlineStr">
        <is>
          <t>Scénario</t>
        </is>
      </c>
      <c r="B3" s="94" t="inlineStr">
        <is>
          <t>Δ CA</t>
        </is>
      </c>
      <c r="C3" s="94" t="inlineStr">
        <is>
          <t>CA</t>
        </is>
      </c>
      <c r="D3" s="94" t="inlineStr">
        <is>
          <t>Charges</t>
        </is>
      </c>
      <c r="E3" s="94" t="inlineStr">
        <is>
          <t>Résultat avant impôts</t>
        </is>
      </c>
    </row>
    <row r="4">
      <c r="A4" s="96" t="inlineStr">
        <is>
          <t>Pessimiste</t>
        </is>
      </c>
      <c r="B4" s="98" t="n">
        <v>-0.1</v>
      </c>
      <c r="C4" s="101">
        <f>'Compte de résultat'!$B$7*(1+B4)</f>
        <v>192600</v>
      </c>
      <c r="D4" s="101">
        <f>('Compte de résultat'!$B$18+'Compte de résultat'!$B$22)*(1+0.02)</f>
        <v>206202.2004</v>
      </c>
      <c r="E4" s="101">
        <f>C4-D4</f>
        <v>-13602.2004</v>
      </c>
    </row>
    <row r="5">
      <c r="A5" s="96" t="inlineStr">
        <is>
          <t>Base</t>
        </is>
      </c>
      <c r="B5" s="98" t="n">
        <v>0</v>
      </c>
      <c r="C5" s="101">
        <f>'Compte de résultat'!$B$7*(1+B5)</f>
        <v>214000</v>
      </c>
      <c r="D5" s="101">
        <f>('Compte de résultat'!$B$18+'Compte de résultat'!$B$22)*(1+0.0)</f>
        <v>202159.02</v>
      </c>
      <c r="E5" s="101">
        <f>C5-D5</f>
        <v>11840.98</v>
      </c>
    </row>
    <row r="6">
      <c r="A6" s="96" t="inlineStr">
        <is>
          <t>Optimiste</t>
        </is>
      </c>
      <c r="B6" s="98" t="n">
        <v>0.12</v>
      </c>
      <c r="C6" s="101">
        <f>'Compte de résultat'!$B$7*(1+B6)</f>
        <v>239680</v>
      </c>
      <c r="D6" s="101">
        <f>('Compte de résultat'!$B$18+'Compte de résultat'!$B$22)*(1+-0.02)</f>
        <v>198115.8396</v>
      </c>
      <c r="E6" s="101">
        <f>C6-D6</f>
        <v>41564.1604000001</v>
      </c>
    </row>
    <row r="7"/>
    <row r="8">
      <c r="A8" s="93" t="inlineStr">
        <is>
          <t>Sensibilité du résultat net (lignes : Δ CA · colonnes : Δ charges)</t>
        </is>
      </c>
    </row>
    <row r="9"/>
    <row r="10">
      <c r="A10" s="94" t="inlineStr">
        <is>
          <t>Δ CA \ Δ ch.</t>
        </is>
      </c>
      <c r="B10" s="150" t="n">
        <v>-0.05</v>
      </c>
      <c r="C10" s="150" t="n">
        <v>0</v>
      </c>
      <c r="D10" s="150" t="n">
        <v>0.05</v>
      </c>
    </row>
    <row r="11">
      <c r="A11" s="151" t="n">
        <v>-0.1</v>
      </c>
      <c r="B11" s="101">
        <f>'Compte de résultat'!$B$7*(1+$A11)-('Compte de résultat'!$B$18+'Compte de résultat'!$B$22)*(1+-0.05)</f>
        <v>548.931000000011</v>
      </c>
      <c r="C11" s="101">
        <f>'Compte de résultat'!$B$7*(1+$A11)-('Compte de résultat'!$B$18+'Compte de résultat'!$B$22)*(1+0.0)</f>
        <v>-9559.01999999999</v>
      </c>
      <c r="D11" s="101">
        <f>'Compte de résultat'!$B$7*(1+$A11)-('Compte de résultat'!$B$18+'Compte de résultat'!$B$22)*(1+0.05)</f>
        <v>-19666.971</v>
      </c>
    </row>
    <row r="12">
      <c r="A12" s="151" t="n">
        <v>-0.05</v>
      </c>
      <c r="B12" s="101">
        <f>'Compte de résultat'!$B$7*(1+$A12)-('Compte de résultat'!$B$18+'Compte de résultat'!$B$22)*(1+-0.05)</f>
        <v>11248.931</v>
      </c>
      <c r="C12" s="101">
        <f>'Compte de résultat'!$B$7*(1+$A12)-('Compte de résultat'!$B$18+'Compte de résultat'!$B$22)*(1+0.0)</f>
        <v>1140.98000000001</v>
      </c>
      <c r="D12" s="101">
        <f>'Compte de résultat'!$B$7*(1+$A12)-('Compte de résultat'!$B$18+'Compte de résultat'!$B$22)*(1+0.05)</f>
        <v>-8966.97099999999</v>
      </c>
    </row>
    <row r="13">
      <c r="A13" s="151" t="n">
        <v>0</v>
      </c>
      <c r="B13" s="101">
        <f>'Compte de résultat'!$B$7*(1+$A13)-('Compte de résultat'!$B$18+'Compte de résultat'!$B$22)*(1+-0.05)</f>
        <v>21948.931</v>
      </c>
      <c r="C13" s="101">
        <f>'Compte de résultat'!$B$7*(1+$A13)-('Compte de résultat'!$B$18+'Compte de résultat'!$B$22)*(1+0.0)</f>
        <v>11840.98</v>
      </c>
      <c r="D13" s="101">
        <f>'Compte de résultat'!$B$7*(1+$A13)-('Compte de résultat'!$B$18+'Compte de résultat'!$B$22)*(1+0.05)</f>
        <v>1733.02900000001</v>
      </c>
    </row>
    <row r="14">
      <c r="A14" s="151" t="n">
        <v>0.05</v>
      </c>
      <c r="B14" s="101">
        <f>'Compte de résultat'!$B$7*(1+$A14)-('Compte de résultat'!$B$18+'Compte de résultat'!$B$22)*(1+-0.05)</f>
        <v>32648.931</v>
      </c>
      <c r="C14" s="101">
        <f>'Compte de résultat'!$B$7*(1+$A14)-('Compte de résultat'!$B$18+'Compte de résultat'!$B$22)*(1+0.0)</f>
        <v>22540.98</v>
      </c>
      <c r="D14" s="101">
        <f>'Compte de résultat'!$B$7*(1+$A14)-('Compte de résultat'!$B$18+'Compte de résultat'!$B$22)*(1+0.05)</f>
        <v>12433.029</v>
      </c>
    </row>
    <row r="15">
      <c r="A15" s="151" t="n">
        <v>0.1</v>
      </c>
      <c r="B15" s="101">
        <f>'Compte de résultat'!$B$7*(1+$A15)-('Compte de résultat'!$B$18+'Compte de résultat'!$B$22)*(1+-0.05)</f>
        <v>43348.931</v>
      </c>
      <c r="C15" s="101">
        <f>'Compte de résultat'!$B$7*(1+$A15)-('Compte de résultat'!$B$18+'Compte de résultat'!$B$22)*(1+0.0)</f>
        <v>33240.98</v>
      </c>
      <c r="D15" s="101">
        <f>'Compte de résultat'!$B$7*(1+$A15)-('Compte de résultat'!$B$18+'Compte de résultat'!$B$22)*(1+0.05)</f>
        <v>23133.029</v>
      </c>
    </row>
  </sheetData>
  <conditionalFormatting sqref="B11:D15">
    <cfRule type="colorScale" priority="1">
      <colorScale>
        <cfvo type="min" val="0"/>
        <cfvo type="percentile" val="50"/>
        <cfvo type="max" val="0"/>
        <color rgb="FFFCA5A5"/>
        <color rgb="FFFDE68A"/>
        <color rgb="FF86EFAC"/>
      </colorScale>
    </cfRule>
  </conditionalFormatting>
  <hyperlinks>
    <hyperlink ref="G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16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O43"/>
  <sheetViews>
    <sheetView showGridLines="0" zoomScale="100" workbookViewId="0">
      <selection activeCell="A1" sqref="A1"/>
    </sheetView>
  </sheetViews>
  <sheetFormatPr baseColWidth="8" defaultRowHeight="15"/>
  <cols>
    <col width="3.7109375" customWidth="1" min="1" max="1"/>
    <col width="22.8" customWidth="1" min="2" max="2"/>
    <col width="19.4" customWidth="1" min="3" max="3"/>
    <col width="24.9" customWidth="1" min="4" max="4"/>
    <col width="22.8" customWidth="1" min="5" max="5"/>
    <col width="3.7109375" customWidth="1" min="6" max="6"/>
    <col width="23.3" customWidth="1" min="8" max="8"/>
    <col width="14.5" customWidth="1" min="9" max="9"/>
    <col width="14.5" customWidth="1" min="10" max="10"/>
    <col width="13" customWidth="1" min="11" max="11"/>
    <col width="14.5" customWidth="1" min="12" max="12"/>
    <col width="13" customWidth="1" min="14" max="14"/>
  </cols>
  <sheetData>
    <row r="1" ht="26" customHeight="1">
      <c r="N1" s="76" t="inlineStr">
        <is>
          <t>← Sommaire</t>
        </is>
      </c>
    </row>
    <row r="2" ht="27" customHeight="1">
      <c r="B2" s="110" t="inlineStr">
        <is>
          <t>Atelier Léman Sàrl — Tableau de bord 2025</t>
        </is>
      </c>
    </row>
    <row r="3">
      <c r="B3" s="116" t="inlineStr">
        <is>
          <t>Démonstration · comparaison N-1</t>
        </is>
      </c>
    </row>
    <row r="4"/>
    <row r="5">
      <c r="B5" s="114" t="inlineStr">
        <is>
          <t>INDICATEURS CLÉS</t>
        </is>
      </c>
      <c r="H5" s="93" t="inlineStr">
        <is>
          <t>Synthèse mensuelle</t>
        </is>
      </c>
    </row>
    <row r="6">
      <c r="B6" s="152" t="inlineStr">
        <is>
          <t>Chiffre d'affaires</t>
        </is>
      </c>
      <c r="C6" s="152" t="inlineStr">
        <is>
          <t>Résultat net</t>
        </is>
      </c>
      <c r="D6" s="152" t="inlineStr">
        <is>
          <t>Marge nette</t>
        </is>
      </c>
      <c r="E6" s="152" t="inlineStr">
        <is>
          <t>Trésorerie au 31.12</t>
        </is>
      </c>
    </row>
    <row r="7" ht="32" customHeight="1">
      <c r="B7" s="153">
        <f>'Compte de résultat'!$B$7</f>
        <v>214000</v>
      </c>
      <c r="C7" s="154">
        <f>'Compte de résultat'!$B$25</f>
        <v>9918.08000000001</v>
      </c>
      <c r="D7" s="155">
        <f>'Compte de résultat'!$B$25/'Compte de résultat'!$B$7</f>
        <v>0.0463461682242991</v>
      </c>
      <c r="E7" s="153">
        <f>'Balance'!$E$5</f>
        <v>73682.12</v>
      </c>
      <c r="H7" s="94" t="inlineStr">
        <is>
          <t>Mois</t>
        </is>
      </c>
      <c r="I7" s="94" t="inlineStr">
        <is>
          <t>Produits</t>
        </is>
      </c>
      <c r="J7" s="94" t="inlineStr">
        <is>
          <t>Charges</t>
        </is>
      </c>
      <c r="K7" s="94" t="inlineStr">
        <is>
          <t>Rés. avant impôts</t>
        </is>
      </c>
      <c r="L7" s="94" t="inlineStr">
        <is>
          <t>N-1 Prod. (illustratif)</t>
        </is>
      </c>
    </row>
    <row r="8">
      <c r="B8" s="156" t="str">
        <f>"▲ "&amp;TEXT(SUM($I$8:$I$19)/SUM($L$8:$L$19)-1,"+0.0%;-0.0%")&amp;" vs N-1"</f>
        <v>▲ +13.6% vs N-1</v>
      </c>
      <c r="C8" s="157" t="str">
        <f>"marge "&amp;TEXT('Compte de résultat'!$B$25/'Compte de résultat'!$B$7,"0.0%")</f>
        <v>marge 4.6%</v>
      </c>
      <c r="D8" s="157" t="str">
        <f>"part du résultat sur le CA"</f>
        <v>part du résultat sur le CA</v>
      </c>
      <c r="E8" s="157" t="str">
        <f>"solde caisse + banque"</f>
        <v>solde caisse + banque</v>
      </c>
      <c r="H8" s="95" t="inlineStr">
        <is>
          <t>Jan</t>
        </is>
      </c>
      <c r="I8" s="101">
        <f>SUMPRODUCT((MONTH(tblJournal[Date])=1)*(LEFT(tblJournal[Crédit],1)="3")*tblJournal[Montant HT])-SUMPRODUCT((MONTH(tblJournal[Date])=1)*(LEFT(tblJournal[Débit],1)="3")*tblJournal[Montant HT])</f>
        <v>14000</v>
      </c>
      <c r="J8" s="101">
        <f>SUMPRODUCT((MONTH(tblJournal[Date])=1)*((LEFT(tblJournal[Débit],1)="4")+(LEFT(tblJournal[Débit],1)="5")+(LEFT(tblJournal[Débit],1)="6"))*tblJournal[Montant HT])-SUMPRODUCT((MONTH(tblJournal[Date])=1)*((LEFT(tblJournal[Crédit],1)="4")+(LEFT(tblJournal[Crédit],1)="5")+(LEFT(tblJournal[Crédit],1)="6"))*tblJournal[Montant HT])</f>
        <v>15062.42</v>
      </c>
      <c r="K8" s="101">
        <f>I8-J8</f>
        <v>-1062.42</v>
      </c>
      <c r="L8" s="101" t="n">
        <v>12320</v>
      </c>
    </row>
    <row r="9">
      <c r="H9" s="95" t="inlineStr">
        <is>
          <t>Fév</t>
        </is>
      </c>
      <c r="I9" s="101">
        <f>SUMPRODUCT((MONTH(tblJournal[Date])=2)*(LEFT(tblJournal[Crédit],1)="3")*tblJournal[Montant HT])-SUMPRODUCT((MONTH(tblJournal[Date])=2)*(LEFT(tblJournal[Débit],1)="3")*tblJournal[Montant HT])</f>
        <v>15000</v>
      </c>
      <c r="J9" s="101">
        <f>SUMPRODUCT((MONTH(tblJournal[Date])=2)*((LEFT(tblJournal[Débit],1)="4")+(LEFT(tblJournal[Débit],1)="5")+(LEFT(tblJournal[Débit],1)="6"))*tblJournal[Montant HT])-SUMPRODUCT((MONTH(tblJournal[Date])=2)*((LEFT(tblJournal[Crédit],1)="4")+(LEFT(tblJournal[Crédit],1)="5")+(LEFT(tblJournal[Crédit],1)="6"))*tblJournal[Montant HT])</f>
        <v>15202.42</v>
      </c>
      <c r="K9" s="101">
        <f>I9-J9</f>
        <v>-202.42</v>
      </c>
      <c r="L9" s="101" t="n">
        <v>13200</v>
      </c>
    </row>
    <row r="10">
      <c r="B10" s="120" t="inlineStr">
        <is>
          <t>Tendance produits</t>
        </is>
      </c>
      <c r="H10" s="95" t="inlineStr">
        <is>
          <t>Mar</t>
        </is>
      </c>
      <c r="I10" s="101">
        <f>SUMPRODUCT((MONTH(tblJournal[Date])=3)*(LEFT(tblJournal[Crédit],1)="3")*tblJournal[Montant HT])-SUMPRODUCT((MONTH(tblJournal[Date])=3)*(LEFT(tblJournal[Débit],1)="3")*tblJournal[Montant HT])</f>
        <v>15600</v>
      </c>
      <c r="J10" s="101">
        <f>SUMPRODUCT((MONTH(tblJournal[Date])=3)*((LEFT(tblJournal[Débit],1)="4")+(LEFT(tblJournal[Débit],1)="5")+(LEFT(tblJournal[Débit],1)="6"))*tblJournal[Montant HT])-SUMPRODUCT((MONTH(tblJournal[Date])=3)*((LEFT(tblJournal[Crédit],1)="4")+(LEFT(tblJournal[Crédit],1)="5")+(LEFT(tblJournal[Crédit],1)="6"))*tblJournal[Montant HT])</f>
        <v>15072.42</v>
      </c>
      <c r="K10" s="101">
        <f>I10-J10</f>
        <v>527.58</v>
      </c>
      <c r="L10" s="101" t="n">
        <v>13728</v>
      </c>
    </row>
    <row r="11">
      <c r="B11" s="120" t="inlineStr">
        <is>
          <t>Tendance résultat</t>
        </is>
      </c>
      <c r="H11" s="95" t="inlineStr">
        <is>
          <t>Avr</t>
        </is>
      </c>
      <c r="I11" s="101">
        <f>SUMPRODUCT((MONTH(tblJournal[Date])=4)*(LEFT(tblJournal[Crédit],1)="3")*tblJournal[Montant HT])-SUMPRODUCT((MONTH(tblJournal[Date])=4)*(LEFT(tblJournal[Débit],1)="3")*tblJournal[Montant HT])</f>
        <v>17500</v>
      </c>
      <c r="J11" s="101">
        <f>SUMPRODUCT((MONTH(tblJournal[Date])=4)*((LEFT(tblJournal[Débit],1)="4")+(LEFT(tblJournal[Débit],1)="5")+(LEFT(tblJournal[Débit],1)="6"))*tblJournal[Montant HT])-SUMPRODUCT((MONTH(tblJournal[Date])=4)*((LEFT(tblJournal[Crédit],1)="4")+(LEFT(tblJournal[Crédit],1)="5")+(LEFT(tblJournal[Crédit],1)="6"))*tblJournal[Montant HT])</f>
        <v>15102.42</v>
      </c>
      <c r="K11" s="101">
        <f>I11-J11</f>
        <v>2397.58</v>
      </c>
      <c r="L11" s="101" t="n">
        <v>15400</v>
      </c>
    </row>
    <row r="12">
      <c r="H12" s="95" t="inlineStr">
        <is>
          <t>Mai</t>
        </is>
      </c>
      <c r="I12" s="101">
        <f>SUMPRODUCT((MONTH(tblJournal[Date])=5)*(LEFT(tblJournal[Crédit],1)="3")*tblJournal[Montant HT])-SUMPRODUCT((MONTH(tblJournal[Date])=5)*(LEFT(tblJournal[Débit],1)="3")*tblJournal[Montant HT])</f>
        <v>18900</v>
      </c>
      <c r="J12" s="101">
        <f>SUMPRODUCT((MONTH(tblJournal[Date])=5)*((LEFT(tblJournal[Débit],1)="4")+(LEFT(tblJournal[Débit],1)="5")+(LEFT(tblJournal[Débit],1)="6"))*tblJournal[Montant HT])-SUMPRODUCT((MONTH(tblJournal[Date])=5)*((LEFT(tblJournal[Crédit],1)="4")+(LEFT(tblJournal[Crédit],1)="5")+(LEFT(tblJournal[Crédit],1)="6"))*tblJournal[Montant HT])</f>
        <v>16612.42</v>
      </c>
      <c r="K12" s="101">
        <f>I12-J12</f>
        <v>2287.58</v>
      </c>
      <c r="L12" s="101" t="n">
        <v>16632</v>
      </c>
    </row>
    <row r="13">
      <c r="B13" s="117" t="inlineStr">
        <is>
          <t>Focus mois :</t>
        </is>
      </c>
      <c r="C13" s="118" t="inlineStr">
        <is>
          <t>Jan</t>
        </is>
      </c>
      <c r="H13" s="95" t="inlineStr">
        <is>
          <t>Juin</t>
        </is>
      </c>
      <c r="I13" s="101">
        <f>SUMPRODUCT((MONTH(tblJournal[Date])=6)*(LEFT(tblJournal[Crédit],1)="3")*tblJournal[Montant HT])-SUMPRODUCT((MONTH(tblJournal[Date])=6)*(LEFT(tblJournal[Débit],1)="3")*tblJournal[Montant HT])</f>
        <v>20300</v>
      </c>
      <c r="J13" s="101">
        <f>SUMPRODUCT((MONTH(tblJournal[Date])=6)*((LEFT(tblJournal[Débit],1)="4")+(LEFT(tblJournal[Débit],1)="5")+(LEFT(tblJournal[Débit],1)="6"))*tblJournal[Montant HT])-SUMPRODUCT((MONTH(tblJournal[Date])=6)*((LEFT(tblJournal[Crédit],1)="4")+(LEFT(tblJournal[Crédit],1)="5")+(LEFT(tblJournal[Crédit],1)="6"))*tblJournal[Montant HT])</f>
        <v>15862.42</v>
      </c>
      <c r="K13" s="101">
        <f>I13-J13</f>
        <v>4437.58</v>
      </c>
      <c r="L13" s="101" t="n">
        <v>17864</v>
      </c>
    </row>
    <row r="14">
      <c r="B14" s="120" t="inlineStr">
        <is>
          <t>CA du mois</t>
        </is>
      </c>
      <c r="C14" s="158">
        <f>INDEX($I$8:$I$19,MATCH($C$13,'Tableau de bord'!$H$8:$H$19,0))</f>
        <v>14000</v>
      </c>
      <c r="H14" s="95" t="inlineStr">
        <is>
          <t>Juil</t>
        </is>
      </c>
      <c r="I14" s="101">
        <f>SUMPRODUCT((MONTH(tblJournal[Date])=7)*(LEFT(tblJournal[Crédit],1)="3")*tblJournal[Montant HT])-SUMPRODUCT((MONTH(tblJournal[Date])=7)*(LEFT(tblJournal[Débit],1)="3")*tblJournal[Montant HT])</f>
        <v>11800</v>
      </c>
      <c r="J14" s="101">
        <f>SUMPRODUCT((MONTH(tblJournal[Date])=7)*((LEFT(tblJournal[Débit],1)="4")+(LEFT(tblJournal[Débit],1)="5")+(LEFT(tblJournal[Débit],1)="6"))*tblJournal[Montant HT])-SUMPRODUCT((MONTH(tblJournal[Date])=7)*((LEFT(tblJournal[Crédit],1)="4")+(LEFT(tblJournal[Crédit],1)="5")+(LEFT(tblJournal[Crédit],1)="6"))*tblJournal[Montant HT])</f>
        <v>14032.42</v>
      </c>
      <c r="K14" s="101">
        <f>I14-J14</f>
        <v>-2232.42</v>
      </c>
      <c r="L14" s="101" t="n">
        <v>10384</v>
      </c>
    </row>
    <row r="15">
      <c r="H15" s="95" t="inlineStr">
        <is>
          <t>Août</t>
        </is>
      </c>
      <c r="I15" s="101">
        <f>SUMPRODUCT((MONTH(tblJournal[Date])=8)*(LEFT(tblJournal[Crédit],1)="3")*tblJournal[Montant HT])-SUMPRODUCT((MONTH(tblJournal[Date])=8)*(LEFT(tblJournal[Débit],1)="3")*tblJournal[Montant HT])</f>
        <v>10200</v>
      </c>
      <c r="J15" s="101">
        <f>SUMPRODUCT((MONTH(tblJournal[Date])=8)*((LEFT(tblJournal[Débit],1)="4")+(LEFT(tblJournal[Débit],1)="5")+(LEFT(tblJournal[Débit],1)="6"))*tblJournal[Montant HT])-SUMPRODUCT((MONTH(tblJournal[Date])=8)*((LEFT(tblJournal[Crédit],1)="4")+(LEFT(tblJournal[Crédit],1)="5")+(LEFT(tblJournal[Crédit],1)="6"))*tblJournal[Montant HT])</f>
        <v>13542.42</v>
      </c>
      <c r="K15" s="101">
        <f>I15-J15</f>
        <v>-3342.42</v>
      </c>
      <c r="L15" s="101" t="n">
        <v>8976</v>
      </c>
    </row>
    <row r="16">
      <c r="H16" s="95" t="inlineStr">
        <is>
          <t>Sep</t>
        </is>
      </c>
      <c r="I16" s="101">
        <f>SUMPRODUCT((MONTH(tblJournal[Date])=9)*(LEFT(tblJournal[Crédit],1)="3")*tblJournal[Montant HT])-SUMPRODUCT((MONTH(tblJournal[Date])=9)*(LEFT(tblJournal[Débit],1)="3")*tblJournal[Montant HT])</f>
        <v>20800</v>
      </c>
      <c r="J16" s="101">
        <f>SUMPRODUCT((MONTH(tblJournal[Date])=9)*((LEFT(tblJournal[Débit],1)="4")+(LEFT(tblJournal[Débit],1)="5")+(LEFT(tblJournal[Débit],1)="6"))*tblJournal[Montant HT])-SUMPRODUCT((MONTH(tblJournal[Date])=9)*((LEFT(tblJournal[Crédit],1)="4")+(LEFT(tblJournal[Crédit],1)="5")+(LEFT(tblJournal[Crédit],1)="6"))*tblJournal[Montant HT])</f>
        <v>17142.42</v>
      </c>
      <c r="K16" s="101">
        <f>I16-J16</f>
        <v>3657.58</v>
      </c>
      <c r="L16" s="101" t="n">
        <v>18304</v>
      </c>
    </row>
    <row r="17">
      <c r="H17" s="95" t="inlineStr">
        <is>
          <t>Oct</t>
        </is>
      </c>
      <c r="I17" s="101">
        <f>SUMPRODUCT((MONTH(tblJournal[Date])=10)*(LEFT(tblJournal[Crédit],1)="3")*tblJournal[Montant HT])-SUMPRODUCT((MONTH(tblJournal[Date])=10)*(LEFT(tblJournal[Débit],1)="3")*tblJournal[Montant HT])</f>
        <v>22500</v>
      </c>
      <c r="J17" s="101">
        <f>SUMPRODUCT((MONTH(tblJournal[Date])=10)*((LEFT(tblJournal[Débit],1)="4")+(LEFT(tblJournal[Débit],1)="5")+(LEFT(tblJournal[Débit],1)="6"))*tblJournal[Montant HT])-SUMPRODUCT((MONTH(tblJournal[Date])=10)*((LEFT(tblJournal[Crédit],1)="4")+(LEFT(tblJournal[Crédit],1)="5")+(LEFT(tblJournal[Crédit],1)="6"))*tblJournal[Montant HT])</f>
        <v>16352.42</v>
      </c>
      <c r="K17" s="101">
        <f>I17-J17</f>
        <v>6147.58</v>
      </c>
      <c r="L17" s="101" t="n">
        <v>19800</v>
      </c>
    </row>
    <row r="18">
      <c r="H18" s="95" t="inlineStr">
        <is>
          <t>Nov</t>
        </is>
      </c>
      <c r="I18" s="101">
        <f>SUMPRODUCT((MONTH(tblJournal[Date])=11)*(LEFT(tblJournal[Crédit],1)="3")*tblJournal[Montant HT])-SUMPRODUCT((MONTH(tblJournal[Date])=11)*(LEFT(tblJournal[Débit],1)="3")*tblJournal[Montant HT])</f>
        <v>21500</v>
      </c>
      <c r="J18" s="101">
        <f>SUMPRODUCT((MONTH(tblJournal[Date])=11)*((LEFT(tblJournal[Débit],1)="4")+(LEFT(tblJournal[Débit],1)="5")+(LEFT(tblJournal[Débit],1)="6"))*tblJournal[Montant HT])-SUMPRODUCT((MONTH(tblJournal[Date])=11)*((LEFT(tblJournal[Crédit],1)="4")+(LEFT(tblJournal[Crédit],1)="5")+(LEFT(tblJournal[Crédit],1)="6"))*tblJournal[Montant HT])</f>
        <v>16952.42</v>
      </c>
      <c r="K18" s="101">
        <f>I18-J18</f>
        <v>4547.58</v>
      </c>
      <c r="L18" s="101" t="n">
        <v>18920</v>
      </c>
    </row>
    <row r="19">
      <c r="H19" s="95" t="inlineStr">
        <is>
          <t>Déc</t>
        </is>
      </c>
      <c r="I19" s="101">
        <f>SUMPRODUCT((MONTH(tblJournal[Date])=12)*(LEFT(tblJournal[Crédit],1)="3")*tblJournal[Montant HT])-SUMPRODUCT((MONTH(tblJournal[Date])=12)*(LEFT(tblJournal[Débit],1)="3")*tblJournal[Montant HT])</f>
        <v>25900</v>
      </c>
      <c r="J19" s="101">
        <f>SUMPRODUCT((MONTH(tblJournal[Date])=12)*((LEFT(tblJournal[Débit],1)="4")+(LEFT(tblJournal[Débit],1)="5")+(LEFT(tblJournal[Débit],1)="6"))*tblJournal[Montant HT])-SUMPRODUCT((MONTH(tblJournal[Date])=12)*((LEFT(tblJournal[Crédit],1)="4")+(LEFT(tblJournal[Crédit],1)="5")+(LEFT(tblJournal[Crédit],1)="6"))*tblJournal[Montant HT])</f>
        <v>31222.4</v>
      </c>
      <c r="K19" s="101">
        <f>I19-J19</f>
        <v>-5322.4</v>
      </c>
      <c r="L19" s="101" t="n">
        <v>22792</v>
      </c>
    </row>
    <row r="20">
      <c r="H20" s="121" t="inlineStr">
        <is>
          <t>Total</t>
        </is>
      </c>
      <c r="I20" s="136">
        <f>SUM(I8:I19)</f>
        <v>214000</v>
      </c>
      <c r="J20" s="136">
        <f>SUM(J8:J19)</f>
        <v>202159.02</v>
      </c>
      <c r="K20" s="136">
        <f>SUM(K8:K19)</f>
        <v>11840.98</v>
      </c>
      <c r="L20" s="136">
        <f>SUM(L8:L19)</f>
        <v>188320</v>
      </c>
    </row>
    <row r="21"/>
    <row r="22"/>
    <row r="23"/>
    <row r="24"/>
    <row r="25"/>
    <row r="26"/>
    <row r="27"/>
    <row r="28"/>
    <row r="29"/>
    <row r="30"/>
    <row r="31"/>
    <row r="32"/>
    <row r="33"/>
    <row r="34">
      <c r="H34" s="93" t="inlineStr">
        <is>
          <t>Répartition des charges</t>
        </is>
      </c>
    </row>
    <row r="35">
      <c r="H35" s="96" t="inlineStr">
        <is>
          <t>Achats de marchandises</t>
        </is>
      </c>
      <c r="I35" s="101">
        <f>'Compte de résultat'!$B$10</f>
        <v>43900</v>
      </c>
    </row>
    <row r="36">
      <c r="H36" s="96" t="inlineStr">
        <is>
          <t>Salaires</t>
        </is>
      </c>
      <c r="I36" s="101">
        <f>'Compte de résultat'!$B$11</f>
        <v>102000</v>
      </c>
    </row>
    <row r="37">
      <c r="H37" s="96" t="inlineStr">
        <is>
          <t>Charges sociales</t>
        </is>
      </c>
      <c r="I37" s="101">
        <f>'Compte de résultat'!$B$12</f>
        <v>11549.02</v>
      </c>
    </row>
    <row r="38">
      <c r="H38" s="96" t="inlineStr">
        <is>
          <t>Loyer &amp; charges</t>
        </is>
      </c>
      <c r="I38" s="101">
        <f>'Compte de résultat'!$B$13</f>
        <v>22050</v>
      </c>
    </row>
    <row r="39">
      <c r="H39" s="96" t="inlineStr">
        <is>
          <t>Administration</t>
        </is>
      </c>
      <c r="I39" s="101">
        <f>'Compte de résultat'!$B$14</f>
        <v>3080</v>
      </c>
    </row>
    <row r="40">
      <c r="H40" s="96" t="inlineStr">
        <is>
          <t>Informatique</t>
        </is>
      </c>
      <c r="I40" s="101">
        <f>'Compte de résultat'!$B$15</f>
        <v>780</v>
      </c>
    </row>
    <row r="41">
      <c r="H41" s="96" t="inlineStr">
        <is>
          <t>Publicité &amp; marketing</t>
        </is>
      </c>
      <c r="I41" s="101">
        <f>'Compte de résultat'!$B$16</f>
        <v>4600</v>
      </c>
    </row>
    <row r="42">
      <c r="H42" s="96" t="inlineStr">
        <is>
          <t>Amortissements</t>
        </is>
      </c>
      <c r="I42" s="101">
        <f>'Compte de résultat'!$B$17</f>
        <v>12400</v>
      </c>
    </row>
    <row r="43">
      <c r="H43" s="96" t="inlineStr">
        <is>
          <t>Charges financières</t>
        </is>
      </c>
      <c r="I43" s="101">
        <f>'Compte de résultat'!$B$22</f>
        <v>1800</v>
      </c>
    </row>
  </sheetData>
  <dataValidations count="1">
    <dataValidation sqref="C13" showDropDown="0" showInputMessage="1" showErrorMessage="1" allowBlank="1" type="list">
      <formula1>"Jan,Fév,Mar,Avr,Mai,Juin,Juil,Août,Sep,Oct,Nov,Déc"</formula1>
    </dataValidation>
  </dataValidations>
  <hyperlinks>
    <hyperlink ref="N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  <drawing xmlns:r="http://schemas.openxmlformats.org/officeDocument/2006/relationships" r:id="rId1"/>
  <extLst>
    <ext xmlns:x14="http://schemas.microsoft.com/office/spreadsheetml/2009/9/main" uri="{05C60535-1F16-4fd2-B633-F4F36F0B64E0}">
      <x14:sparklineGroups xmlns:xm="http://schemas.microsoft.com/office/excel/2006/main">
        <x14:sparklineGroup type="column" displayEmptyCellsAs="gap" negative="1">
          <x14:colorSeries rgb="FF94A3B8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'Tableau de bord'!K8:K19</xm:f>
              <xm:sqref>C11</xm:sqref>
            </x14:sparkline>
          </x14:sparklines>
        </x14:sparklineGroup>
        <x14:sparklineGroup displayEmptyCellsAs="gap" markers="1">
          <x14:colorSeries rgb="FF2563EB"/>
          <x14:colorNegative theme="5"/>
          <x14:colorAxis rgb="FF000000"/>
          <x14:colorMarkers theme="4" tint="-0.499984740745262"/>
          <x14:colorFirst theme="4" tint="0.39997558519241921"/>
          <x14:colorLast theme="4" tint="0.39997558519241921"/>
          <x14:colorHigh theme="4"/>
          <x14:colorLow theme="4"/>
          <x14:sparklines>
            <x14:sparkline>
              <xm:f>'Tableau de bord'!I8:I19</xm:f>
              <xm:sqref>C10</xm:sqref>
            </x14:sparkline>
          </x14:sparklines>
        </x14:sparklineGroup>
      </x14:sparklineGroups>
    </ext>
  </extLst>
</worksheet>
</file>

<file path=xl/worksheets/sheet17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F42"/>
  <sheetViews>
    <sheetView showGridLines="0" zoomScale="100" workbookViewId="0">
      <selection activeCell="A1" sqref="A1"/>
    </sheetView>
  </sheetViews>
  <sheetFormatPr baseColWidth="8" defaultRowHeight="15"/>
  <cols>
    <col width="41.1" customWidth="1" min="1" max="1"/>
    <col width="15.7" customWidth="1" min="2" max="2"/>
    <col width="52.7109375" customWidth="1" min="3" max="3"/>
    <col width="13" customWidth="1" min="5" max="5"/>
  </cols>
  <sheetData>
    <row r="1" ht="26" customHeight="1">
      <c r="A1" s="93" t="inlineStr">
        <is>
          <t>Ratios financiers &amp; analyse</t>
        </is>
      </c>
      <c r="E1" s="76" t="inlineStr">
        <is>
          <t>← Sommaire</t>
        </is>
      </c>
    </row>
    <row r="2">
      <c r="A2" s="116" t="inlineStr">
        <is>
          <t>Repères tirés du bilan et du compte de résultat ; les ratios s'en déduisent (tout est relié par formules).</t>
        </is>
      </c>
    </row>
    <row r="3"/>
    <row r="4">
      <c r="A4" s="112" t="inlineStr">
        <is>
          <t>Repères (du bilan · CHF)</t>
        </is>
      </c>
    </row>
    <row r="5">
      <c r="A5" s="94" t="inlineStr">
        <is>
          <t>Repère</t>
        </is>
      </c>
      <c r="B5" s="94" t="inlineStr">
        <is>
          <t>Montant</t>
        </is>
      </c>
    </row>
    <row r="6">
      <c r="A6" s="96" t="inlineStr">
        <is>
          <t>Total du bilan</t>
        </is>
      </c>
      <c r="B6" s="101">
        <f>'Bilan'!$B$13</f>
        <v>160622.12</v>
      </c>
    </row>
    <row r="7">
      <c r="A7" s="96" t="inlineStr">
        <is>
          <t>Fonds propres</t>
        </is>
      </c>
      <c r="B7" s="101">
        <f>'Bilan'!$F$10+'Bilan'!$F$11+'Bilan'!$F$12</f>
        <v>99918.08</v>
      </c>
    </row>
    <row r="8">
      <c r="A8" s="96" t="inlineStr">
        <is>
          <t>Fonds étrangers (dettes)</t>
        </is>
      </c>
      <c r="B8" s="101">
        <f>'Bilan'!$F$4+'Bilan'!$F$5+'Bilan'!$F$6+'Bilan'!$F$7+'Bilan'!$F$8+'Bilan'!$F$9</f>
        <v>60704.04</v>
      </c>
    </row>
    <row r="9">
      <c r="A9" s="96" t="inlineStr">
        <is>
          <t xml:space="preserve">   dont dettes court terme</t>
        </is>
      </c>
      <c r="B9" s="101">
        <f>'Bilan'!$F$4+'Bilan'!$F$5+'Bilan'!$F$6+'Bilan'!$F$7+'Bilan'!$F$8</f>
        <v>20704.04</v>
      </c>
    </row>
    <row r="10">
      <c r="A10" s="96" t="inlineStr">
        <is>
          <t xml:space="preserve">   dont dettes long terme</t>
        </is>
      </c>
      <c r="B10" s="101">
        <f>'Bilan'!$F$9</f>
        <v>40000</v>
      </c>
    </row>
    <row r="11">
      <c r="A11" s="96" t="inlineStr">
        <is>
          <t>Actif immobilisé</t>
        </is>
      </c>
      <c r="B11" s="101">
        <f>'Bilan'!$B$10+'Bilan'!$B$11+'Bilan'!$B$12</f>
        <v>49600</v>
      </c>
    </row>
    <row r="12">
      <c r="A12" s="96" t="inlineStr">
        <is>
          <t>Actif circulant</t>
        </is>
      </c>
      <c r="B12" s="101">
        <f>'Bilan'!$B$4+'Bilan'!$B$5+'Bilan'!$B$6+'Bilan'!$B$7+'Bilan'!$B$8+'Bilan'!$B$9</f>
        <v>111022.12</v>
      </c>
    </row>
    <row r="13">
      <c r="A13" s="96" t="inlineStr">
        <is>
          <t>Liquidités</t>
        </is>
      </c>
      <c r="B13" s="101">
        <f>'Bilan'!$B$4+'Bilan'!$B$5</f>
        <v>73682.12</v>
      </c>
    </row>
    <row r="14">
      <c r="A14" s="96" t="inlineStr">
        <is>
          <t>Créances clients</t>
        </is>
      </c>
      <c r="B14" s="101">
        <f>'Bilan'!$B$6</f>
        <v>32100</v>
      </c>
    </row>
    <row r="15">
      <c r="A15" s="96" t="inlineStr">
        <is>
          <t>Stock</t>
        </is>
      </c>
      <c r="B15" s="101">
        <f>'Bilan'!$B$8</f>
        <v>5000</v>
      </c>
    </row>
    <row r="16">
      <c r="A16" s="96" t="inlineStr">
        <is>
          <t>Amortissements de l'exercice</t>
        </is>
      </c>
      <c r="B16" s="101">
        <f>SUMIF(tblJournal[Débit],"6800",tblJournal[Montant HT])-SUMIF(tblJournal[Crédit],"6800",tblJournal[Montant HT])</f>
        <v>12400</v>
      </c>
    </row>
    <row r="17">
      <c r="A17" s="96" t="inlineStr">
        <is>
          <t>Charges de personnel</t>
        </is>
      </c>
      <c r="B17" s="101">
        <f>SUMIF(tblJournal[Débit],"5000",tblJournal[Montant HT])-SUMIF(tblJournal[Crédit],"5000",tblJournal[Montant HT])+SUMIF(tblJournal[Débit],"5700",tblJournal[Montant HT])-SUMIF(tblJournal[Crédit],"5700",tblJournal[Montant HT])</f>
        <v>113549.02</v>
      </c>
    </row>
    <row r="18"/>
    <row r="19">
      <c r="A19" s="112" t="inlineStr">
        <is>
          <t>Structure financière</t>
        </is>
      </c>
    </row>
    <row r="20">
      <c r="A20" s="96" t="inlineStr">
        <is>
          <t>Taux de fonds propres (autonomie financière)</t>
        </is>
      </c>
      <c r="B20" s="98">
        <f>$B$7/$B$6</f>
        <v>0.622069239280368</v>
      </c>
      <c r="C20" s="159" t="inlineStr">
        <is>
          <t>Fonds propres / total du bilan — plus il est élevé, plus l'entreprise est indépendante.</t>
        </is>
      </c>
    </row>
    <row r="21">
      <c r="A21" s="96" t="inlineStr">
        <is>
          <t>Taux de financement étranger</t>
        </is>
      </c>
      <c r="B21" s="98">
        <f>$B$8/$B$6</f>
        <v>0.377930760719632</v>
      </c>
      <c r="C21" s="159" t="inlineStr">
        <is>
          <t>Dettes / total du bilan (complément du taux de fonds propres).</t>
        </is>
      </c>
    </row>
    <row r="22">
      <c r="A22" s="96" t="inlineStr">
        <is>
          <t>Levier (dettes / fonds propres)</t>
        </is>
      </c>
      <c r="B22" s="160">
        <f>$B$8/$B$7</f>
        <v>0.607538095207594</v>
      </c>
      <c r="C22" s="159" t="inlineStr">
        <is>
          <t>Dettes rapportées aux fonds propres.</t>
        </is>
      </c>
    </row>
    <row r="23">
      <c r="A23" s="96" t="inlineStr">
        <is>
          <t>Couverture des actifs immobilisés</t>
        </is>
      </c>
      <c r="B23" s="98">
        <f>($B$7+$B$10)/$B$11</f>
        <v>2.82092903225806</v>
      </c>
      <c r="C23" s="159" t="inlineStr">
        <is>
          <t>(Fonds propres + dettes LT) / immobilisations — &gt;100% = financées durablement.</t>
        </is>
      </c>
    </row>
    <row r="24">
      <c r="A24" s="96" t="inlineStr">
        <is>
          <t>Intensité des immobilisations</t>
        </is>
      </c>
      <c r="B24" s="98">
        <f>$B$11/$B$6</f>
        <v>0.308799311078698</v>
      </c>
      <c r="C24" s="159" t="inlineStr">
        <is>
          <t>Part des immobilisations dans l'actif.</t>
        </is>
      </c>
    </row>
    <row r="25"/>
    <row r="26">
      <c r="A26" s="112" t="inlineStr">
        <is>
          <t>Liquidités</t>
        </is>
      </c>
    </row>
    <row r="27">
      <c r="A27" s="96" t="inlineStr">
        <is>
          <t>Liquidité immédiate (degré 1)</t>
        </is>
      </c>
      <c r="B27" s="160">
        <f>$B$13/$B$9</f>
        <v>3.55882813209403</v>
      </c>
      <c r="C27" s="159" t="inlineStr">
        <is>
          <t>Liquidités / dettes court terme.</t>
        </is>
      </c>
    </row>
    <row r="28">
      <c r="A28" s="96" t="inlineStr">
        <is>
          <t>Liquidité réduite (degré 2)</t>
        </is>
      </c>
      <c r="B28" s="160">
        <f>($B$13+$B$14)/$B$9</f>
        <v>5.1092501753281</v>
      </c>
      <c r="C28" s="159" t="inlineStr">
        <is>
          <t>(Liquidités + créances) / dettes CT (&gt;1 = sain).</t>
        </is>
      </c>
    </row>
    <row r="29">
      <c r="A29" s="96" t="inlineStr">
        <is>
          <t>Liquidité générale (degré 3)</t>
        </is>
      </c>
      <c r="B29" s="160">
        <f>$B$12/$B$9</f>
        <v>5.36234087646662</v>
      </c>
      <c r="C29" s="159" t="inlineStr">
        <is>
          <t>Actif circulant / dettes CT (&gt;2 = confortable).</t>
        </is>
      </c>
    </row>
    <row r="30">
      <c r="A30" s="96" t="inlineStr">
        <is>
          <t>Fonds de roulement</t>
        </is>
      </c>
      <c r="B30" s="101">
        <f>$B$12-$B$9</f>
        <v>90318.08</v>
      </c>
      <c r="C30" s="159" t="inlineStr">
        <is>
          <t>Actif circulant − dettes CT.</t>
        </is>
      </c>
    </row>
    <row r="31">
      <c r="A31" s="96" t="inlineStr">
        <is>
          <t>Besoin en fonds de roulement (BFR)</t>
        </is>
      </c>
      <c r="B31" s="101">
        <f>$B$14+$B$15-'Bilan'!$F$4</f>
        <v>28320</v>
      </c>
      <c r="C31" s="159" t="inlineStr">
        <is>
          <t>Créances + stock − fournisseurs.</t>
        </is>
      </c>
    </row>
    <row r="32"/>
    <row r="33">
      <c r="A33" s="112" t="inlineStr">
        <is>
          <t>Rentabilité</t>
        </is>
      </c>
    </row>
    <row r="34">
      <c r="A34" s="96" t="inlineStr">
        <is>
          <t>Marge nette</t>
        </is>
      </c>
      <c r="B34" s="98">
        <f>'Compte de résultat'!$B$25/'Compte de résultat'!$B$7</f>
        <v>0.0463461682242991</v>
      </c>
      <c r="C34" s="159" t="inlineStr">
        <is>
          <t>Résultat net / chiffre d'affaires.</t>
        </is>
      </c>
    </row>
    <row r="35">
      <c r="A35" s="96" t="inlineStr">
        <is>
          <t>Rentabilité des fonds propres (ROE)</t>
        </is>
      </c>
      <c r="B35" s="98">
        <f>'Compte de résultat'!$B$25/$B$7</f>
        <v>0.0992621155250382</v>
      </c>
      <c r="C35" s="159" t="inlineStr">
        <is>
          <t>Résultat / fonds propres.</t>
        </is>
      </c>
    </row>
    <row r="36">
      <c r="A36" s="96" t="inlineStr">
        <is>
          <t>Rentabilité de l'actif (ROA)</t>
        </is>
      </c>
      <c r="B36" s="98">
        <f>'Compte de résultat'!$B$25/$B$6</f>
        <v>0.0617479086940205</v>
      </c>
      <c r="C36" s="159" t="inlineStr">
        <is>
          <t>Résultat / total du bilan.</t>
        </is>
      </c>
    </row>
    <row r="37">
      <c r="A37" s="96" t="inlineStr">
        <is>
          <t>Autofinancement (cash-flow)</t>
        </is>
      </c>
      <c r="B37" s="101">
        <f>'Compte de résultat'!$B$25+$B$16</f>
        <v>22318.08</v>
      </c>
      <c r="C37" s="159" t="inlineStr">
        <is>
          <t>Résultat + amortissements — ressources dégagées par l'activité.</t>
        </is>
      </c>
    </row>
    <row r="38"/>
    <row r="39">
      <c r="A39" s="112" t="inlineStr">
        <is>
          <t>Activité</t>
        </is>
      </c>
    </row>
    <row r="40">
      <c r="A40" s="96" t="inlineStr">
        <is>
          <t>Rotation de l'actif</t>
        </is>
      </c>
      <c r="B40" s="160">
        <f>'Compte de résultat'!$B$7/$B$6</f>
        <v>1.33231960828309</v>
      </c>
      <c r="C40" s="159" t="inlineStr">
        <is>
          <t>CA / total du bilan (nombre de fois).</t>
        </is>
      </c>
    </row>
    <row r="41">
      <c r="A41" s="96" t="inlineStr">
        <is>
          <t>Délai de recouvrement clients (DSO)</t>
        </is>
      </c>
      <c r="B41" s="161">
        <f>$B$14/'Compte de résultat'!$B$7*365</f>
        <v>54.75</v>
      </c>
      <c r="C41" s="159" t="inlineStr">
        <is>
          <t>Jours de CA immobilisés en créances.</t>
        </is>
      </c>
    </row>
    <row r="42">
      <c r="A42" s="96" t="inlineStr">
        <is>
          <t>Taux de charges de personnel</t>
        </is>
      </c>
      <c r="B42" s="98">
        <f>$B$17/'Compte de résultat'!$B$7</f>
        <v>0.530602897196262</v>
      </c>
      <c r="C42" s="159" t="inlineStr">
        <is>
          <t>Salaires + charges sociales / CA.</t>
        </is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ref="E1" location="'Sommaire'!A1" display="← Sommaire"/>
  </hyperlinks>
  <printOptions horizontalCentered="1"/>
  <pageMargins left="0.5" right="0.5" top="0.6" bottom="0.7" header="0.3" footer="0.3"/>
  <pageSetup orientation="portrait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18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P45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.7" customWidth="1" min="1" max="1"/>
    <col width="14.5" customWidth="1" min="2" max="2"/>
    <col width="17.6" customWidth="1" min="3" max="3"/>
    <col width="13.4" customWidth="1" min="4" max="4"/>
    <col width="13.4" customWidth="1" min="5" max="5"/>
    <col width="13.4" customWidth="1" min="6" max="6"/>
    <col width="13" customWidth="1" min="15" max="15"/>
  </cols>
  <sheetData>
    <row r="1" ht="26" customHeight="1">
      <c r="A1" s="93" t="inlineStr">
        <is>
          <t>Comptabilité analytique — méthode des centres d'analyse</t>
        </is>
      </c>
      <c r="O1" s="76" t="inlineStr">
        <is>
          <t>← Sommaire</t>
        </is>
      </c>
    </row>
    <row r="2">
      <c r="A2" s="116" t="inlineStr">
        <is>
          <t>Charges directes (matières) + charges indirectes réparties par centre, imputées aux produits via des unités d'œuvre. Dérivée du journal.</t>
        </is>
      </c>
    </row>
    <row r="3"/>
    <row r="4">
      <c r="A4" s="112" t="inlineStr">
        <is>
          <t>1) Répartition primaire des charges indirectes</t>
        </is>
      </c>
    </row>
    <row r="5">
      <c r="A5" s="94" t="inlineStr">
        <is>
          <t>Charge par nature</t>
        </is>
      </c>
      <c r="B5" s="94" t="inlineStr">
        <is>
          <t>Montant</t>
        </is>
      </c>
      <c r="C5" s="94" t="inlineStr">
        <is>
          <t>Appro.</t>
        </is>
      </c>
      <c r="D5" s="94" t="inlineStr">
        <is>
          <t>Production</t>
        </is>
      </c>
      <c r="E5" s="94" t="inlineStr">
        <is>
          <t>Distribution</t>
        </is>
      </c>
      <c r="F5" s="94" t="inlineStr">
        <is>
          <t>Administr.</t>
        </is>
      </c>
    </row>
    <row r="6">
      <c r="A6" s="96" t="inlineStr">
        <is>
          <t>5000 Salaires</t>
        </is>
      </c>
      <c r="B6" s="101">
        <f>SUMIF(tblJournal[Débit],"5000",tblJournal[Montant HT])-SUMIF(tblJournal[Crédit],"5000",tblJournal[Montant HT])</f>
        <v>102000</v>
      </c>
      <c r="C6" s="101">
        <f>$B6*0.1</f>
        <v>10200</v>
      </c>
      <c r="D6" s="101">
        <f>$B6*0.55</f>
        <v>56100</v>
      </c>
      <c r="E6" s="101">
        <f>$B6*0.2</f>
        <v>20400</v>
      </c>
      <c r="F6" s="101">
        <f>$B6*0.15</f>
        <v>15300</v>
      </c>
    </row>
    <row r="7">
      <c r="A7" s="96" t="inlineStr">
        <is>
          <t>5700 Charges sociales</t>
        </is>
      </c>
      <c r="B7" s="101">
        <f>SUMIF(tblJournal[Débit],"5700",tblJournal[Montant HT])-SUMIF(tblJournal[Crédit],"5700",tblJournal[Montant HT])</f>
        <v>11549.02</v>
      </c>
      <c r="C7" s="101">
        <f>$B7*0.1</f>
        <v>1154.902</v>
      </c>
      <c r="D7" s="101">
        <f>$B7*0.55</f>
        <v>6351.961</v>
      </c>
      <c r="E7" s="101">
        <f>$B7*0.2</f>
        <v>2309.804</v>
      </c>
      <c r="F7" s="101">
        <f>$B7*0.15</f>
        <v>1732.353</v>
      </c>
    </row>
    <row r="8">
      <c r="A8" s="96" t="inlineStr">
        <is>
          <t>6000 Loyer &amp; charges</t>
        </is>
      </c>
      <c r="B8" s="101">
        <f>SUMIF(tblJournal[Débit],"6000",tblJournal[Montant HT])-SUMIF(tblJournal[Crédit],"6000",tblJournal[Montant HT])</f>
        <v>22050</v>
      </c>
      <c r="C8" s="101">
        <f>$B8*0.15</f>
        <v>3307.5</v>
      </c>
      <c r="D8" s="101">
        <f>$B8*0.55</f>
        <v>12127.5</v>
      </c>
      <c r="E8" s="101">
        <f>$B8*0.15</f>
        <v>3307.5</v>
      </c>
      <c r="F8" s="101">
        <f>$B8*0.15</f>
        <v>3307.5</v>
      </c>
    </row>
    <row r="9">
      <c r="A9" s="96" t="inlineStr">
        <is>
          <t>6500 Administration</t>
        </is>
      </c>
      <c r="B9" s="101">
        <f>SUMIF(tblJournal[Débit],"6500",tblJournal[Montant HT])-SUMIF(tblJournal[Crédit],"6500",tblJournal[Montant HT])</f>
        <v>3080</v>
      </c>
      <c r="C9" s="101">
        <f>$B9*0.05</f>
        <v>154</v>
      </c>
      <c r="D9" s="101">
        <f>$B9*0.1</f>
        <v>308</v>
      </c>
      <c r="E9" s="101">
        <f>$B9*0.15</f>
        <v>462</v>
      </c>
      <c r="F9" s="101">
        <f>$B9*0.7</f>
        <v>2156</v>
      </c>
    </row>
    <row r="10">
      <c r="A10" s="96" t="inlineStr">
        <is>
          <t>6570 Informatique</t>
        </is>
      </c>
      <c r="B10" s="101">
        <f>SUMIF(tblJournal[Débit],"6570",tblJournal[Montant HT])-SUMIF(tblJournal[Crédit],"6570",tblJournal[Montant HT])</f>
        <v>780</v>
      </c>
      <c r="C10" s="101">
        <f>$B10*0.15</f>
        <v>117</v>
      </c>
      <c r="D10" s="101">
        <f>$B10*0.25</f>
        <v>195</v>
      </c>
      <c r="E10" s="101">
        <f>$B10*0.2</f>
        <v>156</v>
      </c>
      <c r="F10" s="101">
        <f>$B10*0.4</f>
        <v>312</v>
      </c>
    </row>
    <row r="11">
      <c r="A11" s="96" t="inlineStr">
        <is>
          <t>6600 Publicité &amp; marketing</t>
        </is>
      </c>
      <c r="B11" s="101">
        <f>SUMIF(tblJournal[Débit],"6600",tblJournal[Montant HT])-SUMIF(tblJournal[Crédit],"6600",tblJournal[Montant HT])</f>
        <v>4600</v>
      </c>
      <c r="C11" s="101">
        <f>$B11*0</f>
        <v>0</v>
      </c>
      <c r="D11" s="101">
        <f>$B11*0</f>
        <v>0</v>
      </c>
      <c r="E11" s="101">
        <f>$B11*0.9</f>
        <v>4140</v>
      </c>
      <c r="F11" s="101">
        <f>$B11*0.1</f>
        <v>460</v>
      </c>
    </row>
    <row r="12">
      <c r="A12" s="96" t="inlineStr">
        <is>
          <t>6800 Amortissements</t>
        </is>
      </c>
      <c r="B12" s="101">
        <f>SUMIF(tblJournal[Débit],"6800",tblJournal[Montant HT])-SUMIF(tblJournal[Crédit],"6800",tblJournal[Montant HT])</f>
        <v>12400</v>
      </c>
      <c r="C12" s="101">
        <f>$B12*0.05</f>
        <v>620</v>
      </c>
      <c r="D12" s="101">
        <f>$B12*0.8</f>
        <v>9920</v>
      </c>
      <c r="E12" s="101">
        <f>$B12*0.05</f>
        <v>620</v>
      </c>
      <c r="F12" s="101">
        <f>$B12*0.1</f>
        <v>1240</v>
      </c>
    </row>
    <row r="13">
      <c r="A13" s="121" t="inlineStr">
        <is>
          <t>Total primaire</t>
        </is>
      </c>
      <c r="B13" s="136">
        <f>SUM(B6:B12)</f>
        <v>156459.02</v>
      </c>
      <c r="C13" s="136">
        <f>SUM(C6:C12)</f>
        <v>15553.402</v>
      </c>
      <c r="D13" s="136">
        <f>SUM(D6:D12)</f>
        <v>85002.461</v>
      </c>
      <c r="E13" s="136">
        <f>SUM(E6:E12)</f>
        <v>31395.304</v>
      </c>
      <c r="F13" s="136">
        <f>SUM(F6:F12)</f>
        <v>24507.853</v>
      </c>
    </row>
    <row r="14">
      <c r="A14" s="123" t="str">
        <f>IF(ROUND(B13-('Compte de résultat'!$B$18-'Compte de résultat'!$B$10),2)=0,"✓ = charges indirectes du compte de résultat ("&amp;TEXT(B13,"#,##0")&amp;" CHF)","✗ écart avec le compte de résultat")</f>
        <v>✓ = charges indirectes du compte de résultat (156,459 CHF)</v>
      </c>
    </row>
    <row r="15"/>
    <row r="16">
      <c r="A16" s="112" t="inlineStr">
        <is>
          <t>2) Répartition secondaire (Administration → centres, clés 10 / 60 / 30)</t>
        </is>
      </c>
    </row>
    <row r="17">
      <c r="A17" s="117" t="inlineStr">
        <is>
          <t>Coût final Approvisionnement</t>
        </is>
      </c>
      <c r="B17" s="134">
        <f>C13+F13*0.1</f>
        <v>18004.1873</v>
      </c>
    </row>
    <row r="18">
      <c r="A18" s="117" t="inlineStr">
        <is>
          <t>Coût final Production</t>
        </is>
      </c>
      <c r="B18" s="134">
        <f>D13+F13*0.6</f>
        <v>99707.1728</v>
      </c>
    </row>
    <row r="19">
      <c r="A19" s="117" t="inlineStr">
        <is>
          <t>Coût final Distribution</t>
        </is>
      </c>
      <c r="B19" s="134">
        <f>E13+F13*0.3</f>
        <v>38747.6599</v>
      </c>
    </row>
    <row r="20"/>
    <row r="21">
      <c r="A21" s="112" t="inlineStr">
        <is>
          <t>3) Coût des unités d'œuvre</t>
        </is>
      </c>
    </row>
    <row r="22">
      <c r="A22" s="94" t="inlineStr">
        <is>
          <t>Centre</t>
        </is>
      </c>
      <c r="B22" s="94" t="inlineStr">
        <is>
          <t>Coût total</t>
        </is>
      </c>
      <c r="C22" s="94" t="inlineStr">
        <is>
          <t>Unité d'œuvre</t>
        </is>
      </c>
      <c r="D22" s="94" t="inlineStr">
        <is>
          <t>Nombre</t>
        </is>
      </c>
      <c r="E22" s="94" t="inlineStr">
        <is>
          <t>Coût / UO</t>
        </is>
      </c>
    </row>
    <row r="23">
      <c r="A23" s="96" t="inlineStr">
        <is>
          <t>Approvisionnement</t>
        </is>
      </c>
      <c r="B23" s="101">
        <f>B17</f>
        <v>18004.1873</v>
      </c>
      <c r="C23" s="96" t="inlineStr">
        <is>
          <t>100 CHF d'achats</t>
        </is>
      </c>
      <c r="D23" s="95" t="n">
        <v>439</v>
      </c>
      <c r="E23" s="162">
        <f>B23/D23</f>
        <v>41.0118161731207</v>
      </c>
    </row>
    <row r="24">
      <c r="A24" s="96" t="inlineStr">
        <is>
          <t>Production</t>
        </is>
      </c>
      <c r="B24" s="101">
        <f>B18</f>
        <v>99707.1728</v>
      </c>
      <c r="C24" s="96" t="inlineStr">
        <is>
          <t>heure de MOD</t>
        </is>
      </c>
      <c r="D24" s="95" t="n">
        <v>2400</v>
      </c>
      <c r="E24" s="162">
        <f>B24/D24</f>
        <v>41.5446553333333</v>
      </c>
    </row>
    <row r="25">
      <c r="A25" s="96" t="inlineStr">
        <is>
          <t>Distribution</t>
        </is>
      </c>
      <c r="B25" s="101">
        <f>B19</f>
        <v>38747.6599</v>
      </c>
      <c r="C25" s="96" t="inlineStr">
        <is>
          <t>100 CHF de CA</t>
        </is>
      </c>
      <c r="D25" s="95" t="n">
        <v>2140</v>
      </c>
      <c r="E25" s="162">
        <f>B25/D25</f>
        <v>18.1063831308411</v>
      </c>
    </row>
    <row r="26"/>
    <row r="27">
      <c r="A27" s="112" t="inlineStr">
        <is>
          <t>Consommation d'unités d'œuvre par produit</t>
        </is>
      </c>
    </row>
    <row r="28">
      <c r="A28" s="94" t="inlineStr">
        <is>
          <t>Centre</t>
        </is>
      </c>
      <c r="B28" s="94" t="inlineStr">
        <is>
          <t>Prestations</t>
        </is>
      </c>
      <c r="C28" s="94" t="inlineStr">
        <is>
          <t>Mobilier</t>
        </is>
      </c>
    </row>
    <row r="29">
      <c r="A29" s="96" t="inlineStr">
        <is>
          <t>Approvisionnement</t>
        </is>
      </c>
      <c r="B29" s="95" t="n">
        <v>139</v>
      </c>
      <c r="C29" s="95" t="n">
        <v>300</v>
      </c>
    </row>
    <row r="30">
      <c r="A30" s="96" t="inlineStr">
        <is>
          <t>Production</t>
        </is>
      </c>
      <c r="B30" s="95" t="n">
        <v>1600</v>
      </c>
      <c r="C30" s="95" t="n">
        <v>800</v>
      </c>
    </row>
    <row r="31">
      <c r="A31" s="96" t="inlineStr">
        <is>
          <t>Distribution</t>
        </is>
      </c>
      <c r="B31" s="95" t="n">
        <v>1536</v>
      </c>
      <c r="C31" s="95" t="n">
        <v>604</v>
      </c>
    </row>
    <row r="32"/>
    <row r="33">
      <c r="A33" s="112" t="inlineStr">
        <is>
          <t>4) Coût de revient &amp; résultat par produit</t>
        </is>
      </c>
    </row>
    <row r="34">
      <c r="A34" s="94" t="inlineStr">
        <is>
          <t>Élément</t>
        </is>
      </c>
      <c r="B34" s="94" t="inlineStr">
        <is>
          <t>Prestations</t>
        </is>
      </c>
      <c r="C34" s="94" t="inlineStr">
        <is>
          <t>Mobilier</t>
        </is>
      </c>
    </row>
    <row r="35">
      <c r="A35" s="96" t="inlineStr">
        <is>
          <t>Matières premières (directes)</t>
        </is>
      </c>
      <c r="B35" s="101" t="n">
        <v>13900</v>
      </c>
      <c r="C35" s="101" t="n">
        <v>30000</v>
      </c>
    </row>
    <row r="36">
      <c r="A36" s="96" t="inlineStr">
        <is>
          <t>Approvisionnement imputé</t>
        </is>
      </c>
      <c r="B36" s="101">
        <f>B29*E23</f>
        <v>5700.64244806378</v>
      </c>
      <c r="C36" s="101">
        <f>C29*E23</f>
        <v>12303.5448519362</v>
      </c>
    </row>
    <row r="37">
      <c r="A37" s="96" t="inlineStr">
        <is>
          <t>Production imputée</t>
        </is>
      </c>
      <c r="B37" s="101">
        <f>B30*E24</f>
        <v>66471.4485333333</v>
      </c>
      <c r="C37" s="101">
        <f>C30*E24</f>
        <v>33235.7242666667</v>
      </c>
    </row>
    <row r="38">
      <c r="A38" s="96" t="inlineStr">
        <is>
          <t>Distribution imputée</t>
        </is>
      </c>
      <c r="B38" s="101">
        <f>B31*E25</f>
        <v>27811.404488972</v>
      </c>
      <c r="C38" s="101">
        <f>C31*E25</f>
        <v>10936.255411028</v>
      </c>
    </row>
    <row r="39">
      <c r="A39" s="121" t="inlineStr">
        <is>
          <t>COÛT DE REVIENT</t>
        </is>
      </c>
      <c r="B39" s="136">
        <f>SUM(B35:B38)</f>
        <v>113883.495470369</v>
      </c>
      <c r="C39" s="136">
        <f>SUM(C35:C38)</f>
        <v>86475.5245296309</v>
      </c>
    </row>
    <row r="40">
      <c r="A40" s="96" t="inlineStr">
        <is>
          <t>Chiffre d'affaires</t>
        </is>
      </c>
      <c r="B40" s="101">
        <f>SUMIF(tblJournal[Crédit],"3000",tblJournal[Montant HT])-SUMIF(tblJournal[Débit],"3000",tblJournal[Montant HT])</f>
        <v>153600</v>
      </c>
      <c r="C40" s="101">
        <f>SUMIF(tblJournal[Crédit],"3200",tblJournal[Montant HT])-SUMIF(tblJournal[Débit],"3200",tblJournal[Montant HT])</f>
        <v>60400</v>
      </c>
    </row>
    <row r="41">
      <c r="A41" s="127" t="inlineStr">
        <is>
          <t>RÉSULTAT ANALYTIQUE</t>
        </is>
      </c>
      <c r="B41" s="163">
        <f>B40-B39</f>
        <v>39716.5045296309</v>
      </c>
      <c r="C41" s="163">
        <f>C40-C39</f>
        <v>-26075.5245296309</v>
      </c>
    </row>
    <row r="42">
      <c r="A42" s="96" t="inlineStr">
        <is>
          <t>Marge analytique</t>
        </is>
      </c>
      <c r="B42" s="98">
        <f>B41/B40</f>
        <v>0.258570993031451</v>
      </c>
      <c r="C42" s="98">
        <f>C41/C40</f>
        <v>-0.431713982278658</v>
      </c>
    </row>
    <row r="43"/>
    <row r="44">
      <c r="A44" s="123" t="str">
        <f>IF(ROUND(B41+C41-'Compte de résultat'!$B$19,2)=0,"✓ résultat analytique = résultat d'exploitation","✗ écart avec le résultat d'exploitation")</f>
        <v>✓ résultat analytique = résultat d'exploitation</v>
      </c>
    </row>
    <row r="45">
      <c r="A45" s="115" t="inlineStr">
        <is>
          <t>Hypothèses : matières directes Prest. 13 900 / Mob. 30 000 · MOD Prest. 1 600 h / Mob. 800 h. Fictif.</t>
        </is>
      </c>
    </row>
  </sheetData>
  <hyperlinks>
    <hyperlink ref="O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  <drawing xmlns:r="http://schemas.openxmlformats.org/officeDocument/2006/relationships" r:id="rId1"/>
</worksheet>
</file>

<file path=xl/worksheets/sheet19.xml><?xml version="1.0" encoding="utf-8"?>
<worksheet xmlns="http://schemas.openxmlformats.org/spreadsheetml/2006/main">
  <sheetPr>
    <tabColor rgb="002563EB"/>
    <outlinePr summaryBelow="1" summaryRight="1"/>
    <pageSetUpPr fitToPage="1"/>
  </sheetPr>
  <dimension ref="A1:N12"/>
  <sheetViews>
    <sheetView showGridLines="0" zoomScale="100" workbookViewId="0">
      <selection activeCell="A1" sqref="A1"/>
    </sheetView>
  </sheetViews>
  <sheetFormatPr baseColWidth="8" defaultRowHeight="15"/>
  <cols>
    <col width="30.7" customWidth="1" min="1" max="1"/>
    <col width="15.7" customWidth="1" min="2" max="2"/>
    <col width="13" customWidth="1" min="4" max="4"/>
    <col width="14.4" customWidth="1" min="5" max="5"/>
    <col width="14.4" customWidth="1" min="6" max="6"/>
    <col width="13" customWidth="1" min="13" max="13"/>
  </cols>
  <sheetData>
    <row r="1" ht="26" customHeight="1">
      <c r="A1" s="93" t="inlineStr">
        <is>
          <t>Seuil de rentabilité (point mort)</t>
        </is>
      </c>
      <c r="M1" s="76" t="inlineStr">
        <is>
          <t>← Sommaire</t>
        </is>
      </c>
    </row>
    <row r="2">
      <c r="D2" s="94" t="inlineStr">
        <is>
          <t>Volume</t>
        </is>
      </c>
      <c r="E2" s="94" t="inlineStr">
        <is>
          <t>Chiffre d'affaires</t>
        </is>
      </c>
      <c r="F2" s="94" t="inlineStr">
        <is>
          <t>Coût total</t>
        </is>
      </c>
    </row>
    <row r="3">
      <c r="A3" s="96" t="inlineStr">
        <is>
          <t>Chiffre d'affaires</t>
        </is>
      </c>
      <c r="B3" s="101">
        <f>'Compte de résultat'!$B$7</f>
        <v>214000</v>
      </c>
      <c r="D3" s="95" t="n">
        <v>0</v>
      </c>
      <c r="E3" s="101">
        <f>D3</f>
        <v>0</v>
      </c>
      <c r="F3" s="101">
        <f>$B$7+$B$4*D3/$B$3</f>
        <v>158259.02</v>
      </c>
    </row>
    <row r="4">
      <c r="A4" s="96" t="inlineStr">
        <is>
          <t>Charges variables (achats)</t>
        </is>
      </c>
      <c r="B4" s="101">
        <f>'Compte de résultat'!$B$10</f>
        <v>43900</v>
      </c>
      <c r="D4" s="95" t="n">
        <v>51360</v>
      </c>
      <c r="E4" s="101">
        <f>D4</f>
        <v>51360</v>
      </c>
      <c r="F4" s="101">
        <f>$B$7+$B$4*D4/$B$3</f>
        <v>168795.02</v>
      </c>
    </row>
    <row r="5">
      <c r="A5" s="96" t="inlineStr">
        <is>
          <t>Marge sur coûts variables</t>
        </is>
      </c>
      <c r="B5" s="101">
        <f>B3-B4</f>
        <v>170100</v>
      </c>
      <c r="D5" s="95" t="n">
        <v>102720</v>
      </c>
      <c r="E5" s="101">
        <f>D5</f>
        <v>102720</v>
      </c>
      <c r="F5" s="101">
        <f>$B$7+$B$4*D5/$B$3</f>
        <v>179331.02</v>
      </c>
    </row>
    <row r="6">
      <c r="A6" s="96" t="inlineStr">
        <is>
          <t>Taux de marge / CV</t>
        </is>
      </c>
      <c r="B6" s="98">
        <f>B5/B3</f>
        <v>0.794859813084112</v>
      </c>
      <c r="D6" s="95" t="n">
        <v>154080</v>
      </c>
      <c r="E6" s="101">
        <f>D6</f>
        <v>154080</v>
      </c>
      <c r="F6" s="101">
        <f>$B$7+$B$4*D6/$B$3</f>
        <v>189867.02</v>
      </c>
    </row>
    <row r="7">
      <c r="A7" s="96" t="inlineStr">
        <is>
          <t>Charges fixes</t>
        </is>
      </c>
      <c r="B7" s="101">
        <f>'Compte de résultat'!$B$18-'Compte de résultat'!$B$10+'Compte de résultat'!$B$22</f>
        <v>158259.02</v>
      </c>
      <c r="D7" s="95" t="n">
        <v>205440</v>
      </c>
      <c r="E7" s="101">
        <f>D7</f>
        <v>205440</v>
      </c>
      <c r="F7" s="101">
        <f>$B$7+$B$4*D7/$B$3</f>
        <v>200403.02</v>
      </c>
    </row>
    <row r="8">
      <c r="A8" s="96" t="inlineStr">
        <is>
          <t>Seuil de rentabilité</t>
        </is>
      </c>
      <c r="B8" s="101">
        <f>B7/B6</f>
        <v>199103.05867137</v>
      </c>
      <c r="D8" s="95" t="n">
        <v>256800</v>
      </c>
      <c r="E8" s="101">
        <f>D8</f>
        <v>256800</v>
      </c>
      <c r="F8" s="101">
        <f>$B$7+$B$4*D8/$B$3</f>
        <v>210939.02</v>
      </c>
    </row>
    <row r="9">
      <c r="A9" s="96" t="inlineStr">
        <is>
          <t>Marge de sécurité</t>
        </is>
      </c>
      <c r="B9" s="101">
        <f>B3-B8</f>
        <v>14896.9413286302</v>
      </c>
    </row>
    <row r="10">
      <c r="A10" s="96" t="inlineStr">
        <is>
          <t>Marge de sécurité %</t>
        </is>
      </c>
      <c r="B10" s="98">
        <f>B9/B3</f>
        <v>0.069611875367431</v>
      </c>
    </row>
    <row r="11"/>
    <row r="12">
      <c r="A12" s="103" t="inlineStr">
        <is>
          <t>CA, achats (charges variables) et charges fixes repris du compte de résultat.</t>
        </is>
      </c>
    </row>
  </sheetData>
  <hyperlinks>
    <hyperlink ref="M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  <drawing xmlns:r="http://schemas.openxmlformats.org/officeDocument/2006/relationships" r:id="rId1"/>
</worksheet>
</file>

<file path=xl/worksheets/sheet20.xml><?xml version="1.0" encoding="utf-8"?>
<worksheet xmlns="http://schemas.openxmlformats.org/spreadsheetml/2006/main">
  <sheetPr>
    <tabColor rgb="00059669"/>
    <outlinePr summaryBelow="1" summaryRight="1"/>
    <pageSetUpPr fitToPage="1"/>
  </sheetPr>
  <dimension ref="A1:S20"/>
  <sheetViews>
    <sheetView showGridLines="0" zoomScale="100" workbookViewId="0">
      <selection activeCell="A1" sqref="A1"/>
    </sheetView>
  </sheetViews>
  <sheetFormatPr baseColWidth="8" defaultRowHeight="15"/>
  <cols>
    <col width="16" customWidth="1" min="1" max="1"/>
    <col width="17" customWidth="1" min="2" max="2"/>
    <col width="17" customWidth="1" min="3" max="3"/>
    <col width="17" customWidth="1" min="4" max="4"/>
    <col width="17" customWidth="1" min="5" max="5"/>
    <col width="17" customWidth="1" min="6" max="6"/>
    <col width="17" customWidth="1" min="7" max="7"/>
    <col width="15" customWidth="1" min="8" max="8"/>
    <col width="16.1" customWidth="1" min="9" max="9"/>
    <col width="16.1" customWidth="1" min="10" max="10"/>
    <col width="16.1" customWidth="1" min="11" max="11"/>
    <col width="16.1" customWidth="1" min="12" max="12"/>
    <col width="16" customWidth="1" min="13" max="13"/>
    <col width="13" customWidth="1" min="18" max="18"/>
  </cols>
  <sheetData>
    <row r="1" ht="26" customHeight="1">
      <c r="A1" s="93" t="inlineStr">
        <is>
          <t>Salaires : brut → net &amp; coût employeur</t>
        </is>
      </c>
      <c r="R1" s="76" t="inlineStr">
        <is>
          <t>← Sommaire</t>
        </is>
      </c>
    </row>
    <row r="2">
      <c r="A2" s="116" t="inlineStr">
        <is>
          <t>Effectif : trois collaborateurs à temps partiel, brut mensuel total CHF 8'500 = salaires du journal. Taux dans « Paramètres ». En dessous : décomptes sociaux trimestriels tirés du journal.</t>
        </is>
      </c>
    </row>
    <row r="3"/>
    <row r="4"/>
    <row r="5">
      <c r="A5" s="94" t="inlineStr">
        <is>
          <t>Employé</t>
        </is>
      </c>
      <c r="B5" s="94" t="inlineStr">
        <is>
          <t>Âge</t>
        </is>
      </c>
      <c r="C5" s="94" t="inlineStr">
        <is>
          <t>Taux d'activité</t>
        </is>
      </c>
      <c r="D5" s="94" t="inlineStr">
        <is>
          <t>Brut/mois</t>
        </is>
      </c>
      <c r="E5" s="94" t="inlineStr">
        <is>
          <t>Brut/an</t>
        </is>
      </c>
      <c r="F5" s="94" t="inlineStr">
        <is>
          <t>AVS/AI/APG</t>
        </is>
      </c>
      <c r="G5" s="94" t="inlineStr">
        <is>
          <t>AC</t>
        </is>
      </c>
      <c r="H5" s="94" t="inlineStr">
        <is>
          <t>AANP</t>
        </is>
      </c>
      <c r="I5" s="94" t="inlineStr">
        <is>
          <t>LPP (part empl.)</t>
        </is>
      </c>
      <c r="J5" s="94" t="inlineStr">
        <is>
          <t>Retenues</t>
        </is>
      </c>
      <c r="K5" s="94" t="inlineStr">
        <is>
          <t>Net/mois</t>
        </is>
      </c>
      <c r="L5" s="94" t="inlineStr">
        <is>
          <t>Charges patr./an</t>
        </is>
      </c>
      <c r="M5" s="94" t="inlineStr">
        <is>
          <t>Coût empl./mois</t>
        </is>
      </c>
    </row>
    <row r="6">
      <c r="A6" s="164" t="inlineStr">
        <is>
          <t>A. Rossi</t>
        </is>
      </c>
      <c r="B6" s="165" t="n">
        <v>42</v>
      </c>
      <c r="C6" s="166" t="n">
        <v>0.5</v>
      </c>
      <c r="D6" s="167" t="n">
        <v>3600</v>
      </c>
      <c r="E6" s="168">
        <f>D6*12</f>
        <v>43200</v>
      </c>
      <c r="F6" s="168">
        <f>E6*'Paramètres'!$H$11</f>
        <v>2289.6</v>
      </c>
      <c r="G6" s="168">
        <f>MIN(E6,'Paramètres'!$H$13)*'Paramètres'!$H$12</f>
        <v>475.2</v>
      </c>
      <c r="H6" s="168">
        <f>MIN(E6,'Paramètres'!$H$13)*'Paramètres'!$H$14</f>
        <v>604.8</v>
      </c>
      <c r="I6" s="168">
        <f>IF(E6&gt;='Paramètres'!$H$16,MAX(0,MIN(E6,'Paramètres'!$H$17)-'Paramètres'!$H$15)*LOOKUP(B6,LPP_age,LPP_taux)*0.5,0)</f>
        <v>837</v>
      </c>
      <c r="J6" s="168">
        <f>SUM(F6:I6)</f>
        <v>4206.6</v>
      </c>
      <c r="K6" s="168">
        <f>(E6-J6)/12</f>
        <v>3249.45</v>
      </c>
      <c r="L6" s="168">
        <f>E6*'Paramètres'!$H$11+MIN(E6,'Paramètres'!$H$13)*'Paramètres'!$H$12+I6+E6*'Paramètres'!$H$18+E6*'Paramètres'!$H$21+2*E6*'Paramètres'!$H$11*'Paramètres'!$H$20+MIN(E6,'Paramètres'!$H$13)*'Paramètres'!$H$19</f>
        <v>5159.5056</v>
      </c>
      <c r="M6" s="168">
        <f>(E6+L6)/12</f>
        <v>4029.9588</v>
      </c>
    </row>
    <row r="7">
      <c r="A7" s="164" t="inlineStr">
        <is>
          <t>B. Meier</t>
        </is>
      </c>
      <c r="B7" s="165" t="n">
        <v>29</v>
      </c>
      <c r="C7" s="166" t="n">
        <v>0.4</v>
      </c>
      <c r="D7" s="167" t="n">
        <v>2240</v>
      </c>
      <c r="E7" s="168">
        <f>D7*12</f>
        <v>26880</v>
      </c>
      <c r="F7" s="168">
        <f>E7*'Paramètres'!$H$11</f>
        <v>1424.64</v>
      </c>
      <c r="G7" s="168">
        <f>MIN(E7,'Paramètres'!$H$13)*'Paramètres'!$H$12</f>
        <v>295.68</v>
      </c>
      <c r="H7" s="168">
        <f>MIN(E7,'Paramètres'!$H$13)*'Paramètres'!$H$14</f>
        <v>376.32</v>
      </c>
      <c r="I7" s="168">
        <f>IF(E7&gt;='Paramètres'!$H$16,MAX(0,MIN(E7,'Paramètres'!$H$17)-'Paramètres'!$H$15)*LOOKUP(B7,LPP_age,LPP_taux)*0.5,0)</f>
        <v>14.7</v>
      </c>
      <c r="J7" s="168">
        <f>SUM(F7:I7)</f>
        <v>2111.34</v>
      </c>
      <c r="K7" s="168">
        <f>(E7-J7)/12</f>
        <v>2064.055</v>
      </c>
      <c r="L7" s="168">
        <f>E7*'Paramètres'!$H$11+MIN(E7,'Paramètres'!$H$13)*'Paramètres'!$H$12+I7+E7*'Paramètres'!$H$18+E7*'Paramètres'!$H$21+2*E7*'Paramètres'!$H$11*'Paramètres'!$H$20+MIN(E7,'Paramètres'!$H$13)*'Paramètres'!$H$19</f>
        <v>2704.25904</v>
      </c>
      <c r="M7" s="168">
        <f>(E7+L7)/12</f>
        <v>2465.35492</v>
      </c>
    </row>
    <row r="8">
      <c r="A8" s="164" t="inlineStr">
        <is>
          <t>C. Dubois</t>
        </is>
      </c>
      <c r="B8" s="165" t="n">
        <v>55</v>
      </c>
      <c r="C8" s="166" t="n">
        <v>0.3</v>
      </c>
      <c r="D8" s="167" t="n">
        <v>2660</v>
      </c>
      <c r="E8" s="168">
        <f>D8*12</f>
        <v>31920</v>
      </c>
      <c r="F8" s="168">
        <f>E8*'Paramètres'!$H$11</f>
        <v>1691.76</v>
      </c>
      <c r="G8" s="168">
        <f>MIN(E8,'Paramètres'!$H$13)*'Paramètres'!$H$12</f>
        <v>351.12</v>
      </c>
      <c r="H8" s="168">
        <f>MIN(E8,'Paramètres'!$H$13)*'Paramètres'!$H$14</f>
        <v>446.88</v>
      </c>
      <c r="I8" s="168">
        <f>IF(E8&gt;='Paramètres'!$H$16,MAX(0,MIN(E8,'Paramètres'!$H$17)-'Paramètres'!$H$15)*LOOKUP(B8,LPP_age,LPP_taux)*0.5,0)</f>
        <v>491.4</v>
      </c>
      <c r="J8" s="168">
        <f>SUM(F8:I8)</f>
        <v>2981.16</v>
      </c>
      <c r="K8" s="168">
        <f>(E8-J8)/12</f>
        <v>2411.57</v>
      </c>
      <c r="L8" s="168">
        <f>E8*'Paramètres'!$H$11+MIN(E8,'Paramètres'!$H$13)*'Paramètres'!$H$12+I8+E8*'Paramètres'!$H$18+E8*'Paramètres'!$H$21+2*E8*'Paramètres'!$H$11*'Paramètres'!$H$20+MIN(E8,'Paramètres'!$H$13)*'Paramètres'!$H$19</f>
        <v>3685.25136</v>
      </c>
      <c r="M8" s="168">
        <f>(E8+L8)/12</f>
        <v>2967.10428</v>
      </c>
    </row>
    <row r="9">
      <c r="A9" s="121" t="inlineStr">
        <is>
          <t>Totaux</t>
        </is>
      </c>
      <c r="D9" s="122">
        <f>SUM(D6:D8)</f>
        <v>8500</v>
      </c>
      <c r="E9" s="122">
        <f>SUM(E6:E8)</f>
        <v>102000</v>
      </c>
      <c r="F9" s="122">
        <f>SUM(F6:F8)</f>
        <v>5406</v>
      </c>
      <c r="G9" s="122">
        <f>SUM(G6:G8)</f>
        <v>1122</v>
      </c>
      <c r="H9" s="122">
        <f>SUM(H6:H8)</f>
        <v>1428</v>
      </c>
      <c r="I9" s="122">
        <f>SUM(I6:I8)</f>
        <v>1343.1</v>
      </c>
      <c r="J9" s="122">
        <f>SUM(J6:J8)</f>
        <v>9299.1</v>
      </c>
      <c r="K9" s="122">
        <f>SUM(K6:K8)</f>
        <v>7725.075</v>
      </c>
      <c r="L9" s="122">
        <f>SUM(L6:L8)</f>
        <v>11549.016</v>
      </c>
      <c r="M9" s="122">
        <f>SUM(M6:M8)</f>
        <v>9462.418</v>
      </c>
    </row>
    <row r="10"/>
    <row r="11">
      <c r="A11" s="76" t="inlineStr">
        <is>
          <t>Décomptes sociaux trimestriels (selon journal : compte 2270)</t>
        </is>
      </c>
    </row>
    <row r="12">
      <c r="A12" s="94" t="inlineStr">
        <is>
          <t>Trimestre</t>
        </is>
      </c>
      <c r="B12" s="94" t="inlineStr">
        <is>
          <t>Salaires bruts</t>
        </is>
      </c>
      <c r="C12" s="94" t="inlineStr">
        <is>
          <t>Retenues employé</t>
        </is>
      </c>
      <c r="D12" s="94" t="inlineStr">
        <is>
          <t>Charges patronales</t>
        </is>
      </c>
      <c r="E12" s="94" t="inlineStr">
        <is>
          <t>Dû à la caisse</t>
        </is>
      </c>
      <c r="F12" s="94" t="inlineStr">
        <is>
          <t>Versé</t>
        </is>
      </c>
      <c r="G12" s="94" t="inlineStr">
        <is>
          <t>Solde</t>
        </is>
      </c>
    </row>
    <row r="13">
      <c r="A13" s="96" t="inlineStr">
        <is>
          <t>T1 2025</t>
        </is>
      </c>
      <c r="B13" s="119">
        <f>SUMPRODUCT((ROUNDUP(MONTH(tblJournal[Date])/3,0)=1)*(tblJournal[Débit]="5000")*tblJournal[Montant HT])</f>
        <v>25500</v>
      </c>
      <c r="C13" s="119">
        <f>B13-SUMPRODUCT((ROUNDUP(MONTH(tblJournal[Date])/3,0)=1)*(tblJournal[Débit]="2270")*(tblJournal[Crédit]="1020")*(tblJournal[Nature]="Salaire")*tblJournal[Montant HT])</f>
        <v>2324.79</v>
      </c>
      <c r="D13" s="119">
        <f>SUMPRODUCT((ROUNDUP(MONTH(tblJournal[Date])/3,0)=1)*(tblJournal[Débit]="5700")*tblJournal[Montant HT])</f>
        <v>2887.26</v>
      </c>
      <c r="E13" s="119">
        <f>C13+D13</f>
        <v>5212.05</v>
      </c>
      <c r="F13" s="119">
        <f>SUMPRODUCT((ROUNDUP(MONTH(tblJournal[Date])/3,0)=2)*(tblJournal[Nature]="Décompte social")*tblJournal[Montant HT])</f>
        <v>5212.05</v>
      </c>
      <c r="G13" s="119">
        <f>E13-F13</f>
        <v>0</v>
      </c>
    </row>
    <row r="14">
      <c r="A14" s="96" t="inlineStr">
        <is>
          <t>T2 2025</t>
        </is>
      </c>
      <c r="B14" s="119">
        <f>SUMPRODUCT((ROUNDUP(MONTH(tblJournal[Date])/3,0)=2)*(tblJournal[Débit]="5000")*tblJournal[Montant HT])</f>
        <v>25500</v>
      </c>
      <c r="C14" s="119">
        <f>B14-SUMPRODUCT((ROUNDUP(MONTH(tblJournal[Date])/3,0)=2)*(tblJournal[Débit]="2270")*(tblJournal[Crédit]="1020")*(tblJournal[Nature]="Salaire")*tblJournal[Montant HT])</f>
        <v>2324.79</v>
      </c>
      <c r="D14" s="119">
        <f>SUMPRODUCT((ROUNDUP(MONTH(tblJournal[Date])/3,0)=2)*(tblJournal[Débit]="5700")*tblJournal[Montant HT])</f>
        <v>2887.26</v>
      </c>
      <c r="E14" s="119">
        <f>C14+D14</f>
        <v>5212.05</v>
      </c>
      <c r="F14" s="119">
        <f>SUMPRODUCT((ROUNDUP(MONTH(tblJournal[Date])/3,0)=3)*(tblJournal[Nature]="Décompte social")*tblJournal[Montant HT])</f>
        <v>5212.05</v>
      </c>
      <c r="G14" s="119">
        <f>E14-F14</f>
        <v>0</v>
      </c>
    </row>
    <row r="15">
      <c r="A15" s="96" t="inlineStr">
        <is>
          <t>T3 2025</t>
        </is>
      </c>
      <c r="B15" s="119">
        <f>SUMPRODUCT((ROUNDUP(MONTH(tblJournal[Date])/3,0)=3)*(tblJournal[Débit]="5000")*tblJournal[Montant HT])</f>
        <v>25500</v>
      </c>
      <c r="C15" s="119">
        <f>B15-SUMPRODUCT((ROUNDUP(MONTH(tblJournal[Date])/3,0)=3)*(tblJournal[Débit]="2270")*(tblJournal[Crédit]="1020")*(tblJournal[Nature]="Salaire")*tblJournal[Montant HT])</f>
        <v>2324.79</v>
      </c>
      <c r="D15" s="119">
        <f>SUMPRODUCT((ROUNDUP(MONTH(tblJournal[Date])/3,0)=3)*(tblJournal[Débit]="5700")*tblJournal[Montant HT])</f>
        <v>2887.26</v>
      </c>
      <c r="E15" s="119">
        <f>C15+D15</f>
        <v>5212.05</v>
      </c>
      <c r="F15" s="119">
        <f>SUMPRODUCT((ROUNDUP(MONTH(tblJournal[Date])/3,0)=4)*(tblJournal[Nature]="Décompte social")*tblJournal[Montant HT])</f>
        <v>5212.05</v>
      </c>
      <c r="G15" s="119">
        <f>E15-F15</f>
        <v>0</v>
      </c>
    </row>
    <row r="16">
      <c r="A16" s="96" t="inlineStr">
        <is>
          <t>T4 2025</t>
        </is>
      </c>
      <c r="B16" s="119">
        <f>SUMPRODUCT((ROUNDUP(MONTH(tblJournal[Date])/3,0)=4)*(tblJournal[Débit]="5000")*tblJournal[Montant HT])</f>
        <v>25500</v>
      </c>
      <c r="C16" s="119">
        <f>B16-SUMPRODUCT((ROUNDUP(MONTH(tblJournal[Date])/3,0)=4)*(tblJournal[Débit]="2270")*(tblJournal[Crédit]="1020")*(tblJournal[Nature]="Salaire")*tblJournal[Montant HT])</f>
        <v>2324.73</v>
      </c>
      <c r="D16" s="119">
        <f>SUMPRODUCT((ROUNDUP(MONTH(tblJournal[Date])/3,0)=4)*(tblJournal[Débit]="5700")*tblJournal[Montant HT])</f>
        <v>2887.24</v>
      </c>
      <c r="E16" s="119">
        <f>C16+D16</f>
        <v>5211.97</v>
      </c>
      <c r="F16" s="119">
        <f>0</f>
        <v>0</v>
      </c>
      <c r="G16" s="119">
        <f>E16-F16</f>
        <v>5211.97</v>
      </c>
    </row>
    <row r="17">
      <c r="A17" s="127" t="inlineStr">
        <is>
          <t>Total 2025</t>
        </is>
      </c>
      <c r="B17" s="140">
        <f>SUM(B13:B16)</f>
        <v>102000</v>
      </c>
      <c r="C17" s="140">
        <f>SUM(C13:C16)</f>
        <v>9299.1</v>
      </c>
      <c r="D17" s="140">
        <f>SUM(D13:D16)</f>
        <v>11549.02</v>
      </c>
      <c r="E17" s="140">
        <f>SUM(E13:E16)</f>
        <v>20848.12</v>
      </c>
      <c r="F17" s="140">
        <f>SUM(F13:F16)</f>
        <v>15636.15</v>
      </c>
      <c r="G17" s="140">
        <f>SUM(G13:G16)</f>
        <v>5211.97</v>
      </c>
    </row>
    <row r="18"/>
    <row r="19" ht="18" customHeight="1">
      <c r="A19" s="104" t="inlineStr">
        <is>
          <t>Retenues employé = AVS/AI/APG + AC + AANP + part employé LPP ; charges patronales = AVS/AI/APG + AC + LPP + CAF + fonds LFP/LStE + AAP + frais d'administration ECAS (taux dans Paramètres, barème fribourgeois). Les montants mensuels du journal sont le douzième des valeurs annuelles ci-dessus (ajustement au centime en décembre). Versements à la caisse de compensation et à la fondation LPP dans le mois suivant le trimestre ; le solde T4 figure au bilan (2270).</t>
        </is>
      </c>
    </row>
    <row r="20"/>
  </sheetData>
  <mergeCells count="1">
    <mergeCell ref="A19:G20"/>
  </mergeCells>
  <hyperlinks>
    <hyperlink ref="R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21.xml><?xml version="1.0" encoding="utf-8"?>
<worksheet xmlns="http://schemas.openxmlformats.org/spreadsheetml/2006/main">
  <sheetPr>
    <tabColor rgb="00059669"/>
    <outlinePr summaryBelow="1" summaryRight="1"/>
    <pageSetUpPr fitToPage="1"/>
  </sheetPr>
  <dimension ref="A1:F38"/>
  <sheetViews>
    <sheetView showGridLines="0" zoomScale="100" workbookViewId="0">
      <selection activeCell="A1" sqref="A1"/>
    </sheetView>
  </sheetViews>
  <sheetFormatPr baseColWidth="8" defaultRowHeight="15"/>
  <cols>
    <col width="54.3" customWidth="1" min="1" max="1"/>
    <col width="12.9" customWidth="1" min="2" max="2"/>
    <col width="18.7" customWidth="1" min="3" max="3"/>
    <col width="13" customWidth="1" min="5" max="5"/>
  </cols>
  <sheetData>
    <row r="1" ht="27" customHeight="1">
      <c r="A1" s="110" t="inlineStr">
        <is>
          <t>Fiche de salaire</t>
        </is>
      </c>
      <c r="E1" s="76" t="inlineStr">
        <is>
          <t>← Sommaire</t>
        </is>
      </c>
    </row>
    <row r="2">
      <c r="A2" s="116" t="inlineStr">
        <is>
          <t>Atelier Léman Sàrl · Fribourg — données fictives</t>
        </is>
      </c>
    </row>
    <row r="3"/>
    <row r="4">
      <c r="A4" s="117" t="inlineStr">
        <is>
          <t>Employé :</t>
        </is>
      </c>
      <c r="B4" s="118" t="inlineStr">
        <is>
          <t>A. Rossi</t>
        </is>
      </c>
    </row>
    <row r="5">
      <c r="A5" s="117" t="inlineStr">
        <is>
          <t>Période :</t>
        </is>
      </c>
      <c r="B5" s="114" t="inlineStr">
        <is>
          <t>Janvier 2025</t>
        </is>
      </c>
    </row>
    <row r="6">
      <c r="A6" s="117" t="inlineStr">
        <is>
          <t>Taux d'activité :</t>
        </is>
      </c>
      <c r="B6" s="169">
        <f>INDEX('Salaires'!$C$6:$C$8,MATCH($B$4,Employes,0))</f>
        <v>0.5</v>
      </c>
    </row>
    <row r="7">
      <c r="A7" s="117" t="inlineStr">
        <is>
          <t>N° AVS :</t>
        </is>
      </c>
      <c r="B7" s="116" t="inlineStr">
        <is>
          <t>756.XXXX.XXXX.XX</t>
        </is>
      </c>
    </row>
    <row r="8"/>
    <row r="9">
      <c r="A9" s="94" t="inlineStr">
        <is>
          <t>Désignation</t>
        </is>
      </c>
      <c r="B9" s="94" t="inlineStr">
        <is>
          <t>Taux</t>
        </is>
      </c>
      <c r="C9" s="94" t="inlineStr">
        <is>
          <t>Montant CHF</t>
        </is>
      </c>
    </row>
    <row r="10">
      <c r="A10" s="96" t="inlineStr">
        <is>
          <t>Salaire mensuel de base</t>
        </is>
      </c>
      <c r="B10" s="95" t="n"/>
      <c r="C10" s="119">
        <f>INDEX('Salaires'!$D$6:$D$8,MATCH($B$4,Employes,0))</f>
        <v>3600</v>
      </c>
    </row>
    <row r="11">
      <c r="A11" s="96" t="inlineStr">
        <is>
          <t>Part 13e salaire (si versée)</t>
        </is>
      </c>
      <c r="B11" s="95" t="n"/>
      <c r="C11" s="119" t="n">
        <v>0</v>
      </c>
    </row>
    <row r="12">
      <c r="A12" s="96" t="inlineStr">
        <is>
          <t>Heures supplémentaires</t>
        </is>
      </c>
      <c r="B12" s="95" t="n"/>
      <c r="C12" s="119" t="n">
        <v>0</v>
      </c>
    </row>
    <row r="13">
      <c r="A13" s="117" t="inlineStr">
        <is>
          <t>SALAIRE BRUT</t>
        </is>
      </c>
      <c r="B13" s="170" t="n"/>
      <c r="C13" s="171">
        <f>SUM(C10:C12)</f>
        <v>3600</v>
      </c>
    </row>
    <row r="14">
      <c r="A14" s="112" t="inlineStr">
        <is>
          <t>Déductions sociales (part employé)</t>
        </is>
      </c>
    </row>
    <row r="15">
      <c r="A15" s="96" t="inlineStr">
        <is>
          <t>AVS / AI / APG</t>
        </is>
      </c>
      <c r="B15" s="172">
        <f>'Paramètres'!$H$11</f>
        <v>0.053</v>
      </c>
      <c r="C15" s="119">
        <f>$C$13*B15</f>
        <v>190.8</v>
      </c>
    </row>
    <row r="16">
      <c r="A16" s="96" t="inlineStr">
        <is>
          <t>Assurance chômage (AC)</t>
        </is>
      </c>
      <c r="B16" s="172">
        <f>'Paramètres'!$H$12</f>
        <v>0.011</v>
      </c>
      <c r="C16" s="119">
        <f>MIN($C$13,'Paramètres'!$H$13/12)*B16</f>
        <v>39.6</v>
      </c>
    </row>
    <row r="17">
      <c r="A17" s="96" t="inlineStr">
        <is>
          <t>Accidents non prof. (AANP)</t>
        </is>
      </c>
      <c r="B17" s="172">
        <f>'Paramètres'!$H$14</f>
        <v>0.014</v>
      </c>
      <c r="C17" s="119">
        <f>MIN($C$13,'Paramètres'!$H$13/12)*B17</f>
        <v>50.4</v>
      </c>
    </row>
    <row r="18">
      <c r="A18" s="96" t="inlineStr">
        <is>
          <t>Prévoyance prof. (LPP, part employé)</t>
        </is>
      </c>
      <c r="B18" s="95" t="n"/>
      <c r="C18" s="119">
        <f>INDEX('Salaires'!$I$6:$I$8,MATCH($B$4,Employes,0))/12</f>
        <v>69.75</v>
      </c>
    </row>
    <row r="19">
      <c r="A19" s="96" t="inlineStr">
        <is>
          <t>Indemnités journ. maladie (IJM)</t>
        </is>
      </c>
      <c r="B19" s="172" t="n">
        <v>0</v>
      </c>
      <c r="C19" s="119">
        <f>$C$13*B19</f>
        <v>0</v>
      </c>
    </row>
    <row r="20">
      <c r="A20" s="96" t="inlineStr">
        <is>
          <t>Impôt à la source (permis B/G)</t>
        </is>
      </c>
      <c r="B20" s="172" t="n">
        <v>0</v>
      </c>
      <c r="C20" s="119">
        <f>$C$13*B20</f>
        <v>0</v>
      </c>
    </row>
    <row r="21">
      <c r="A21" s="121" t="inlineStr">
        <is>
          <t>Total des déductions</t>
        </is>
      </c>
      <c r="B21" s="173" t="n"/>
      <c r="C21" s="122">
        <f>SUM(C15:C20)</f>
        <v>350.55</v>
      </c>
    </row>
    <row r="22">
      <c r="A22" s="117" t="inlineStr">
        <is>
          <t>SALAIRE NET</t>
        </is>
      </c>
      <c r="C22" s="126">
        <f>C13-C21</f>
        <v>3249.45</v>
      </c>
    </row>
    <row r="23">
      <c r="A23" s="96" t="inlineStr">
        <is>
          <t>Allocations familiales (non soumis AVS)</t>
        </is>
      </c>
      <c r="B23" s="95" t="n"/>
      <c r="C23" s="119" t="n">
        <v>0</v>
      </c>
    </row>
    <row r="24">
      <c r="A24" s="174" t="inlineStr">
        <is>
          <t>NET À PAYER</t>
        </is>
      </c>
      <c r="C24" s="175">
        <f>C22+C23</f>
        <v>3249.45</v>
      </c>
    </row>
    <row r="25">
      <c r="A25" s="115" t="inlineStr">
        <is>
          <t>Montant versé sur le compte bancaire de l'employé.</t>
        </is>
      </c>
    </row>
    <row r="26"/>
    <row r="27">
      <c r="A27" s="112" t="inlineStr">
        <is>
          <t>Récapitulatif employeur — charges patronales (usage interne)</t>
        </is>
      </c>
    </row>
    <row r="28">
      <c r="A28" s="94" t="inlineStr">
        <is>
          <t>Charge patronale</t>
        </is>
      </c>
      <c r="B28" s="94" t="inlineStr">
        <is>
          <t>Taux</t>
        </is>
      </c>
      <c r="C28" s="94" t="inlineStr">
        <is>
          <t>Montant CHF</t>
        </is>
      </c>
    </row>
    <row r="29">
      <c r="A29" s="96" t="inlineStr">
        <is>
          <t>AVS / AI / APG (employeur)</t>
        </is>
      </c>
      <c r="B29" s="172">
        <f>'Paramètres'!$H$11</f>
        <v>0.053</v>
      </c>
      <c r="C29" s="119">
        <f>$C$13*B29</f>
        <v>190.8</v>
      </c>
    </row>
    <row r="30">
      <c r="A30" s="96" t="inlineStr">
        <is>
          <t>Assurance chômage (employeur)</t>
        </is>
      </c>
      <c r="B30" s="172">
        <f>'Paramètres'!$H$12</f>
        <v>0.011</v>
      </c>
      <c r="C30" s="119">
        <f>MIN($C$13,'Paramètres'!$H$13/12)*B30</f>
        <v>39.6</v>
      </c>
    </row>
    <row r="31">
      <c r="A31" s="96" t="inlineStr">
        <is>
          <t>Accidents prof. (AAP, employeur)</t>
        </is>
      </c>
      <c r="B31" s="172">
        <f>'Paramètres'!$H$19</f>
        <v>0.008</v>
      </c>
      <c r="C31" s="119">
        <f>MIN($C$13,'Paramètres'!$H$13/12)*B31</f>
        <v>28.8</v>
      </c>
    </row>
    <row r="32">
      <c r="A32" s="96" t="inlineStr">
        <is>
          <t>Allocations familiales (CAF Fribourg)</t>
        </is>
      </c>
      <c r="B32" s="172">
        <f>'Paramètres'!$H$18</f>
        <v>0.0227</v>
      </c>
      <c r="C32" s="119">
        <f>$C$13*B32</f>
        <v>81.72</v>
      </c>
    </row>
    <row r="33">
      <c r="A33" s="96" t="inlineStr">
        <is>
          <t>Prévoyance LPP (part employeur)</t>
        </is>
      </c>
      <c r="B33" s="95" t="n"/>
      <c r="C33" s="119">
        <f>C18</f>
        <v>69.75</v>
      </c>
    </row>
    <row r="34">
      <c r="A34" s="96" t="inlineStr">
        <is>
          <t>Frais d'administration ECAS (% des cotisations AVS/AI/APG)</t>
        </is>
      </c>
      <c r="B34" s="172">
        <f>'Paramètres'!$H$20</f>
        <v>0.043</v>
      </c>
      <c r="C34" s="119">
        <f>2*C29*B34</f>
        <v>16.4088</v>
      </c>
    </row>
    <row r="35">
      <c r="A35" s="96" t="inlineStr">
        <is>
          <t>Fonds cantonaux LFP + LStE</t>
        </is>
      </c>
      <c r="B35" s="172">
        <f>'Paramètres'!$H$21</f>
        <v>0.0008</v>
      </c>
      <c r="C35" s="119">
        <f>$C$13*B35</f>
        <v>2.88</v>
      </c>
    </row>
    <row r="36">
      <c r="A36" s="121" t="inlineStr">
        <is>
          <t>Total charges patronales</t>
        </is>
      </c>
      <c r="B36" s="173" t="n"/>
      <c r="C36" s="122">
        <f>SUM(C29:C35)</f>
        <v>429.9588</v>
      </c>
    </row>
    <row r="37">
      <c r="A37" s="127" t="inlineStr">
        <is>
          <t>COÛT TOTAL EMPLOYEUR</t>
        </is>
      </c>
      <c r="C37" s="140">
        <f>C13+C36</f>
        <v>4029.9588</v>
      </c>
    </row>
    <row r="38">
      <c r="A38" s="96" t="inlineStr">
        <is>
          <t>Taux de charges patronales</t>
        </is>
      </c>
      <c r="B38" s="95" t="n"/>
      <c r="C38" s="98">
        <f>C36/C13</f>
        <v>0.119433</v>
      </c>
    </row>
  </sheetData>
  <dataValidations count="1">
    <dataValidation sqref="B4" showDropDown="0" showInputMessage="1" showErrorMessage="1" allowBlank="1" type="list">
      <formula1>Employes</formula1>
    </dataValidation>
  </dataValidations>
  <hyperlinks>
    <hyperlink ref="E1" location="'Sommaire'!A1" display="← Sommaire"/>
  </hyperlinks>
  <printOptions horizontalCentered="1"/>
  <pageMargins left="0.5" right="0.5" top="0.6" bottom="0.7" header="0.3" footer="0.3"/>
  <pageSetup orientation="portrait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22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M29"/>
  <sheetViews>
    <sheetView showGridLines="0" zoomScale="100" workbookViewId="0">
      <selection activeCell="A1" sqref="A1"/>
    </sheetView>
  </sheetViews>
  <sheetFormatPr baseColWidth="8" defaultRowHeight="15"/>
  <cols>
    <col width="38.3" customWidth="1" min="1" max="1"/>
    <col width="18" customWidth="1" min="2" max="2"/>
    <col width="16" customWidth="1" min="3" max="3"/>
    <col width="16" customWidth="1" min="4" max="4"/>
    <col width="15.4" customWidth="1" min="5" max="5"/>
    <col width="15.4" customWidth="1" min="6" max="6"/>
    <col width="15" customWidth="1" min="7" max="7"/>
    <col width="13" customWidth="1" min="12" max="12"/>
  </cols>
  <sheetData>
    <row r="1" ht="26" customHeight="1">
      <c r="A1" s="93" t="inlineStr">
        <is>
          <t>Décompte TVA — méthode effective · 2025</t>
        </is>
      </c>
      <c r="L1" s="76" t="inlineStr">
        <is>
          <t>← Sommaire</t>
        </is>
      </c>
    </row>
    <row r="2">
      <c r="A2" s="116" t="inlineStr">
        <is>
          <t>Méthode effective, décomptes trimestriels (art. 35 LTVA), calculés depuis le journal. Paiement dans les 60 jours suivant la fin du trimestre.</t>
        </is>
      </c>
    </row>
    <row r="3"/>
    <row r="4">
      <c r="A4" s="94" t="inlineStr">
        <is>
          <t>Période</t>
        </is>
      </c>
      <c r="B4" s="94" t="inlineStr">
        <is>
          <t>CA imposable (HT)</t>
        </is>
      </c>
      <c r="C4" s="94" t="inlineStr">
        <is>
          <t>TVA due (8.1 %)</t>
        </is>
      </c>
      <c r="D4" s="94" t="inlineStr">
        <is>
          <t>Impôt préalable</t>
        </is>
      </c>
      <c r="E4" s="94" t="inlineStr">
        <is>
          <t>TVA nette</t>
        </is>
      </c>
      <c r="F4" s="94" t="inlineStr">
        <is>
          <t>Payé à l'AFC</t>
        </is>
      </c>
      <c r="G4" s="94" t="inlineStr">
        <is>
          <t>Solde</t>
        </is>
      </c>
    </row>
    <row r="5">
      <c r="A5" s="96" t="inlineStr">
        <is>
          <t>T1 2025</t>
        </is>
      </c>
      <c r="B5" s="119">
        <f>SUMPRODUCT((ROUNDUP(MONTH(tblJournal[Date])/3,0)=1)*(tblJournal[Cpte TVA]="2200")*tblJournal[Montant HT])</f>
        <v>44600</v>
      </c>
      <c r="C5" s="119">
        <f>SUMPRODUCT((ROUNDUP(MONTH(tblJournal[Date])/3,0)=1)*(tblJournal[Cpte TVA]="2200")*tblJournal[TVA CHF])</f>
        <v>3612.6</v>
      </c>
      <c r="D5" s="119">
        <f>SUMPRODUCT((ROUNDUP(MONTH(tblJournal[Date])/3,0)=1)*(tblJournal[Cpte TVA]="1176")*tblJournal[TVA CHF])</f>
        <v>6362.55</v>
      </c>
      <c r="E5" s="119">
        <f>C5-D5</f>
        <v>-2749.95</v>
      </c>
      <c r="F5" s="119">
        <f>SUMIFS(tblJournal[Montant HT],tblJournal[Nature],"TVA",tblJournal[Débit],"2200",tblJournal[Crédit],"1020",tblJournal[Date],"&gt;="&amp;DATE(2025,4,1),tblJournal[Date],"&lt;="&amp;DATE(2025,6,30))-SUMIFS(tblJournal[Montant HT],tblJournal[Nature],"TVA",tblJournal[Débit],"1020",tblJournal[Crédit],"2200",tblJournal[Date],"&gt;="&amp;DATE(2025,4,1),tblJournal[Date],"&lt;="&amp;DATE(2025,6,30))</f>
        <v>-2749.95</v>
      </c>
      <c r="G5" s="119">
        <f>E5-F5</f>
        <v>0</v>
      </c>
    </row>
    <row r="6">
      <c r="A6" s="96" t="inlineStr">
        <is>
          <t>T2 2025</t>
        </is>
      </c>
      <c r="B6" s="119">
        <f>SUMPRODUCT((ROUNDUP(MONTH(tblJournal[Date])/3,0)=2)*(tblJournal[Cpte TVA]="2200")*tblJournal[Montant HT])</f>
        <v>56700</v>
      </c>
      <c r="C6" s="119">
        <f>SUMPRODUCT((ROUNDUP(MONTH(tblJournal[Date])/3,0)=2)*(tblJournal[Cpte TVA]="2200")*tblJournal[TVA CHF])</f>
        <v>4592.7</v>
      </c>
      <c r="D6" s="119">
        <f>SUMPRODUCT((ROUNDUP(MONTH(tblJournal[Date])/3,0)=2)*(tblJournal[Cpte TVA]="1176")*tblJournal[TVA CHF])</f>
        <v>1116.99</v>
      </c>
      <c r="E6" s="119">
        <f>C6-D6</f>
        <v>3475.71</v>
      </c>
      <c r="F6" s="119">
        <f>SUMIFS(tblJournal[Montant HT],tblJournal[Nature],"TVA",tblJournal[Débit],"2200",tblJournal[Crédit],"1020",tblJournal[Date],"&gt;="&amp;DATE(2025,7,1),tblJournal[Date],"&lt;="&amp;DATE(2025,9,30))-SUMIFS(tblJournal[Montant HT],tblJournal[Nature],"TVA",tblJournal[Débit],"1020",tblJournal[Crédit],"2200",tblJournal[Date],"&gt;="&amp;DATE(2025,7,1),tblJournal[Date],"&lt;="&amp;DATE(2025,9,30))</f>
        <v>3475.71</v>
      </c>
      <c r="G6" s="119">
        <f>E6-F6</f>
        <v>0</v>
      </c>
    </row>
    <row r="7">
      <c r="A7" s="96" t="inlineStr">
        <is>
          <t>T3 2025</t>
        </is>
      </c>
      <c r="B7" s="119">
        <f>SUMPRODUCT((ROUNDUP(MONTH(tblJournal[Date])/3,0)=3)*(tblJournal[Cpte TVA]="2200")*tblJournal[Montant HT])</f>
        <v>42800</v>
      </c>
      <c r="C7" s="119">
        <f>SUMPRODUCT((ROUNDUP(MONTH(tblJournal[Date])/3,0)=3)*(tblJournal[Cpte TVA]="2200")*tblJournal[TVA CHF])</f>
        <v>3466.8</v>
      </c>
      <c r="D7" s="119">
        <f>SUMPRODUCT((ROUNDUP(MONTH(tblJournal[Date])/3,0)=3)*(tblJournal[Cpte TVA]="1176")*tblJournal[TVA CHF])</f>
        <v>885.33</v>
      </c>
      <c r="E7" s="119">
        <f>C7-D7</f>
        <v>2581.47</v>
      </c>
      <c r="F7" s="119">
        <f>SUMIFS(tblJournal[Montant HT],tblJournal[Nature],"TVA",tblJournal[Débit],"2200",tblJournal[Crédit],"1020",tblJournal[Date],"&gt;="&amp;DATE(2025,10,1),tblJournal[Date],"&lt;="&amp;DATE(2025,12,31))-SUMIFS(tblJournal[Montant HT],tblJournal[Nature],"TVA",tblJournal[Débit],"1020",tblJournal[Crédit],"2200",tblJournal[Date],"&gt;="&amp;DATE(2025,10,1),tblJournal[Date],"&lt;="&amp;DATE(2025,12,31))</f>
        <v>2581.47</v>
      </c>
      <c r="G7" s="119">
        <f>E7-F7</f>
        <v>0</v>
      </c>
    </row>
    <row r="8">
      <c r="A8" s="96" t="inlineStr">
        <is>
          <t>T4 2025</t>
        </is>
      </c>
      <c r="B8" s="119">
        <f>SUMPRODUCT((ROUNDUP(MONTH(tblJournal[Date])/3,0)=4)*(tblJournal[Cpte TVA]="2200")*tblJournal[Montant HT])</f>
        <v>69900</v>
      </c>
      <c r="C8" s="119">
        <f>SUMPRODUCT((ROUNDUP(MONTH(tblJournal[Date])/3,0)=4)*(tblJournal[Cpte TVA]="2200")*tblJournal[TVA CHF])</f>
        <v>5661.9</v>
      </c>
      <c r="D8" s="119">
        <f>SUMPRODUCT((ROUNDUP(MONTH(tblJournal[Date])/3,0)=4)*(tblJournal[Cpte TVA]="1176")*tblJournal[TVA CHF])</f>
        <v>1322.73</v>
      </c>
      <c r="E8" s="119">
        <f>C8-D8</f>
        <v>4339.17</v>
      </c>
      <c r="F8" s="119">
        <f>0</f>
        <v>0</v>
      </c>
      <c r="G8" s="119">
        <f>E8-F8</f>
        <v>4339.17</v>
      </c>
    </row>
    <row r="9">
      <c r="A9" s="127" t="inlineStr">
        <is>
          <t>Total 2025</t>
        </is>
      </c>
      <c r="B9" s="140">
        <f>SUM(B5:B8)</f>
        <v>214000</v>
      </c>
      <c r="C9" s="140">
        <f>SUM(C5:C8)</f>
        <v>17334</v>
      </c>
      <c r="D9" s="140">
        <f>SUM(D5:D8)</f>
        <v>9687.6</v>
      </c>
      <c r="E9" s="140">
        <f>SUM(E5:E8)</f>
        <v>7646.4</v>
      </c>
      <c r="F9" s="140">
        <f>SUM(F5:F8)</f>
        <v>3307.23</v>
      </c>
      <c r="G9" s="140">
        <f>SUM(G5:G8)</f>
        <v>4339.17</v>
      </c>
    </row>
    <row r="10"/>
    <row r="11">
      <c r="A11" s="142" t="inlineStr">
        <is>
          <t>Détail de l'impôt préalable 2025</t>
        </is>
      </c>
    </row>
    <row r="12">
      <c r="A12" s="96" t="inlineStr">
        <is>
          <t>Achats de marchandises (classe 4)</t>
        </is>
      </c>
      <c r="B12" s="119">
        <f>SUMPRODUCT((tblJournal[Cpte TVA]="1176")*(LEFT(tblJournal[Débit],1)="4")*tblJournal[TVA CHF])</f>
        <v>3555.9</v>
      </c>
    </row>
    <row r="13">
      <c r="A13" s="96" t="inlineStr">
        <is>
          <t>Charges d'exploitation (classes 5 et 6)</t>
        </is>
      </c>
      <c r="B13" s="119">
        <f>SUMPRODUCT((tblJournal[Cpte TVA]="1176")*((LEFT(tblJournal[Débit],1)="5")+(LEFT(tblJournal[Débit],1)="6"))*tblJournal[TVA CHF])</f>
        <v>704.7</v>
      </c>
    </row>
    <row r="14">
      <c r="A14" s="96" t="inlineStr">
        <is>
          <t>Investissements et stock (classe 1)</t>
        </is>
      </c>
      <c r="B14" s="119">
        <f>SUMPRODUCT((tblJournal[Cpte TVA]="1176")*(LEFT(tblJournal[Débit],1)="1")*tblJournal[TVA CHF])</f>
        <v>5427</v>
      </c>
    </row>
    <row r="15">
      <c r="A15" s="127" t="inlineStr">
        <is>
          <t>Total impôt préalable</t>
        </is>
      </c>
      <c r="B15" s="140">
        <f>SUM(B12:B14)</f>
        <v>9687.6</v>
      </c>
    </row>
    <row r="16"/>
    <row r="17">
      <c r="A17" s="127" t="inlineStr">
        <is>
          <t>TVA due au 31.12 (compte 2200)</t>
        </is>
      </c>
      <c r="B17" s="140">
        <f>'Bilan'!$F$5</f>
        <v>4339.17</v>
      </c>
    </row>
    <row r="18">
      <c r="A18" s="106" t="inlineStr">
        <is>
          <t>Contrôle : solde 2200 = TVA nette T4</t>
        </is>
      </c>
      <c r="B18" s="119" t="str">
        <f>IF(ROUND(B17-G8,2)=0,"✓ Concordant","✗ Écart")</f>
        <v>✓ Concordant</v>
      </c>
    </row>
    <row r="19">
      <c r="A19" s="106" t="inlineStr">
        <is>
          <t>Contrôle : impôt préalable 1176 soldé</t>
        </is>
      </c>
      <c r="B19" s="119" t="str">
        <f>IF(ROUND('Bilan'!$B$7,2)=0,"✓ Soldé","✗ Solde résiduel")</f>
        <v>✓ Soldé</v>
      </c>
    </row>
    <row r="20"/>
    <row r="21">
      <c r="A21" s="103" t="inlineStr">
        <is>
          <t>Le solde du compte 2200 au 31.12 correspond au décompte T4, payable à l'AFC jusqu'au 28.02.2026 (art. 86 LTVA).</t>
        </is>
      </c>
    </row>
    <row r="22"/>
    <row r="23"/>
    <row r="24"/>
    <row r="25"/>
    <row r="26"/>
    <row r="27"/>
    <row r="28"/>
    <row r="29"/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hyperlinks>
    <hyperlink ref="L1" location="'Sommaire'!A1" display="← Sommaire"/>
  </hyperlinks>
  <printOptions horizontalCentered="1"/>
  <pageMargins left="0.5" right="0.5" top="0.6" bottom="0.7" header="0.3" footer="0.3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23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E21"/>
  <sheetViews>
    <sheetView showGridLines="0" zoomScale="100" workbookViewId="0">
      <selection activeCell="A1" sqref="A1"/>
    </sheetView>
  </sheetViews>
  <sheetFormatPr baseColWidth="8" defaultRowHeight="15"/>
  <cols>
    <col width="93.59999999999999" customWidth="1" min="1" max="1"/>
    <col width="18" customWidth="1" min="2" max="2"/>
    <col width="13" customWidth="1" min="4" max="4"/>
  </cols>
  <sheetData>
    <row r="1">
      <c r="A1" s="137" t="inlineStr">
        <is>
          <t>Impôts directs — provision 2025 (Sàrl, Fribourg)</t>
        </is>
      </c>
      <c r="D1" s="76" t="inlineStr">
        <is>
          <t>← Sommaire</t>
        </is>
      </c>
    </row>
    <row r="2">
      <c r="A2" s="78" t="inlineStr">
        <is>
          <t>Du résultat commercial au bénéfice imposable, puis à la provision comptabilisée au 31.12 (8900 / 2330).</t>
        </is>
      </c>
    </row>
    <row r="3"/>
    <row r="4">
      <c r="A4" s="96" t="inlineStr">
        <is>
          <t>Résultat avant impôts (compte de résultat)</t>
        </is>
      </c>
      <c r="B4" s="119">
        <f>'Compte de résultat'!$B$23</f>
        <v>11840.98</v>
      </c>
    </row>
    <row r="5">
      <c r="A5" s="96" t="inlineStr">
        <is>
          <t>+ Reprise fiscale : amortissements excédant la Notice A (registre des immobilisations)</t>
        </is>
      </c>
      <c r="B5" s="119">
        <f>'Immobilisations'!$K$8</f>
        <v>2100</v>
      </c>
    </row>
    <row r="6">
      <c r="A6" s="127" t="inlineStr">
        <is>
          <t>= Bénéfice imposable avant déduction de l'impôt</t>
        </is>
      </c>
      <c r="B6" s="140">
        <f>B4+B5</f>
        <v>13940.98</v>
      </c>
    </row>
    <row r="7"/>
    <row r="8">
      <c r="A8" s="96" t="inlineStr">
        <is>
          <t>Taux statutaire IFD (art. 68 LIFD)</t>
        </is>
      </c>
      <c r="B8" s="148" t="n">
        <v>0.08500000000000001</v>
      </c>
    </row>
    <row r="9">
      <c r="A9" s="96" t="inlineStr">
        <is>
          <t>Taux statutaire cantonal + communal, Fribourg (hypothèse : taux de base LICD × coefficients)</t>
        </is>
      </c>
      <c r="B9" s="148" t="n">
        <v>0.075</v>
      </c>
    </row>
    <row r="10">
      <c r="A10" s="127" t="inlineStr">
        <is>
          <t>Taux statutaire combiné</t>
        </is>
      </c>
      <c r="B10" s="176">
        <f>B8+B9</f>
        <v>0.16</v>
      </c>
    </row>
    <row r="11">
      <c r="A11" s="127" t="inlineStr">
        <is>
          <t>Taux effectif, l'impôt étant lui-même déductible (art. 59 al. 1 let. a LIFD) : t ÷ (1 + t)</t>
        </is>
      </c>
      <c r="B11" s="176">
        <f>B10/(1+B10)</f>
        <v>0.137931034482759</v>
      </c>
    </row>
    <row r="12"/>
    <row r="13">
      <c r="A13" s="127" t="inlineStr">
        <is>
          <t>Provision pour impôts directs 2025 (arrondie à 5 ct.)</t>
        </is>
      </c>
      <c r="B13" s="140">
        <f>ROUND(B6*B11/0.05,0)*0.05</f>
        <v>1922.9</v>
      </c>
    </row>
    <row r="14">
      <c r="A14" s="96" t="inlineStr">
        <is>
          <t>Bénéfice imposable après déduction de l'impôt</t>
        </is>
      </c>
      <c r="B14" s="119">
        <f>B6-B13</f>
        <v>12018.08</v>
      </c>
    </row>
    <row r="15">
      <c r="A15" s="127" t="inlineStr">
        <is>
          <t>Résultat net après impôts (compte de résultat)</t>
        </is>
      </c>
      <c r="B15" s="140">
        <f>'Compte de résultat'!$B$25</f>
        <v>9918.08000000001</v>
      </c>
    </row>
    <row r="16"/>
    <row r="17">
      <c r="A17" s="96" t="inlineStr">
        <is>
          <t>Contrôle : provision comptabilisée (8900) = calcul</t>
        </is>
      </c>
      <c r="B17" s="119" t="str">
        <f>IF(ROUND('Compte de résultat'!$B$24-B13,2)=0,"✓ Concordant","✗ Écart")</f>
        <v>✓ Concordant</v>
      </c>
    </row>
    <row r="18"/>
    <row r="19" ht="18" customHeight="1">
      <c r="A19" s="104" t="inlineStr">
        <is>
          <t>Les taux cantonal et communal sont une hypothèse de démonstration (cellules bleues, à adapter à la commune et à l'année : taux de base LICD multiplié par les coefficients cantonal et communal). Taux effectif combiné résultant ≈ 13.8 %, proche du taux fribourgeois réel. Impôt sur le capital et impôt minimum non modélisés.</t>
        </is>
      </c>
    </row>
    <row r="20"/>
    <row r="21"/>
  </sheetData>
  <mergeCells count="1">
    <mergeCell ref="A19:B21"/>
  </mergeCells>
  <hyperlinks>
    <hyperlink ref="D1" location="'Sommaire'!A1" display="← Sommaire"/>
  </hyperlinks>
  <printOptions horizontalCentered="1"/>
  <pageMargins left="0.5" right="0.5" top="0.6" bottom="0.7" header="0.5" footer="0.5"/>
  <pageSetup orientation="portrait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24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E11"/>
  <sheetViews>
    <sheetView showGridLines="0" zoomScale="100" workbookViewId="0">
      <selection activeCell="A1" sqref="A1"/>
    </sheetView>
  </sheetViews>
  <sheetFormatPr baseColWidth="8" defaultRowHeight="15"/>
  <cols>
    <col width="40" customWidth="1" min="1" max="1"/>
    <col width="16.7" customWidth="1" min="2" max="2"/>
    <col width="13" customWidth="1" min="4" max="4"/>
  </cols>
  <sheetData>
    <row r="1" ht="26" customHeight="1">
      <c r="A1" s="93" t="inlineStr">
        <is>
          <t>Rapprochement bancaire au 31.12</t>
        </is>
      </c>
      <c r="D1" s="76" t="inlineStr">
        <is>
          <t>← Sommaire</t>
        </is>
      </c>
    </row>
    <row r="2">
      <c r="A2" s="116" t="inlineStr">
        <is>
          <t>Du solde du relevé au solde comptable.</t>
        </is>
      </c>
    </row>
    <row r="3"/>
    <row r="4">
      <c r="A4" s="144" t="inlineStr">
        <is>
          <t>Solde selon relevé bancaire</t>
        </is>
      </c>
      <c r="B4" s="177" t="n">
        <v>74397.12</v>
      </c>
    </row>
    <row r="5">
      <c r="A5" s="144" t="inlineStr">
        <is>
          <t xml:space="preserve">   − Chèques émis non débités</t>
        </is>
      </c>
      <c r="B5" s="177" t="n">
        <v>-2450</v>
      </c>
    </row>
    <row r="6">
      <c r="A6" s="144" t="inlineStr">
        <is>
          <t xml:space="preserve">   + Virement client non comptabilisé</t>
        </is>
      </c>
      <c r="B6" s="177" t="n">
        <v>1830</v>
      </c>
    </row>
    <row r="7">
      <c r="A7" s="144" t="inlineStr">
        <is>
          <t xml:space="preserve">   − Frais bancaires non comptabilisés</t>
        </is>
      </c>
      <c r="B7" s="177" t="n">
        <v>-95</v>
      </c>
    </row>
    <row r="8">
      <c r="A8" s="117" t="inlineStr">
        <is>
          <t>= Solde comptable (compte 1020)</t>
        </is>
      </c>
      <c r="B8" s="178">
        <f>'Bilan'!$B$5</f>
        <v>73682.12</v>
      </c>
    </row>
    <row r="9"/>
    <row r="10">
      <c r="A10" s="106" t="inlineStr">
        <is>
          <t>Contrôle :</t>
        </is>
      </c>
      <c r="B10" s="123" t="str">
        <f>IF(ROUND((B4+B5+B6+B7)-B8,2)=0,"✓ Rapproché","✗")</f>
        <v>✓ Rapproché</v>
      </c>
    </row>
    <row r="11">
      <c r="A11" s="103" t="inlineStr">
        <is>
          <t>Le solde du relevé est une donnée externe (fictive) ; le solde comptable vient du bilan.</t>
        </is>
      </c>
    </row>
  </sheetData>
  <hyperlinks>
    <hyperlink ref="D1" location="'Sommaire'!A1" display="← Sommaire"/>
  </hyperlinks>
  <printOptions horizontalCentered="1"/>
  <pageMargins left="0.5" right="0.5" top="0.6" bottom="0.7" header="0.3" footer="0.3"/>
  <pageSetup orientation="portrait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25.xml><?xml version="1.0" encoding="utf-8"?>
<worksheet xmlns="http://schemas.openxmlformats.org/spreadsheetml/2006/main">
  <sheetPr>
    <tabColor rgb="000F172A"/>
    <outlinePr summaryBelow="1" summaryRight="1"/>
    <pageSetUpPr fitToPage="1"/>
  </sheetPr>
  <dimension ref="A1:I24"/>
  <sheetViews>
    <sheetView showGridLines="0" zoomScale="10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72.59999999999999" customWidth="1" min="2" max="2"/>
    <col width="18" customWidth="1" min="3" max="3"/>
    <col width="18" customWidth="1" min="4" max="4"/>
    <col width="14" customWidth="1" min="5" max="5"/>
    <col width="26" customWidth="1" min="6" max="6"/>
    <col width="13" customWidth="1" min="8" max="8"/>
  </cols>
  <sheetData>
    <row r="1">
      <c r="A1" s="137" t="inlineStr">
        <is>
          <t>Contrôles de cohérence</t>
        </is>
      </c>
      <c r="H1" s="76" t="inlineStr">
        <is>
          <t>← Sommaire</t>
        </is>
      </c>
    </row>
    <row r="2">
      <c r="A2" s="78" t="inlineStr">
        <is>
          <t>Chaque contrôle compare deux grandeurs calculées indépendamment. Tout écart signale une erreur de saisie ou de paramétrage.</t>
        </is>
      </c>
    </row>
    <row r="3"/>
    <row r="4">
      <c r="A4" s="94" t="inlineStr">
        <is>
          <t>N°</t>
        </is>
      </c>
      <c r="B4" s="94" t="inlineStr">
        <is>
          <t>Contrôle</t>
        </is>
      </c>
      <c r="C4" s="94" t="inlineStr">
        <is>
          <t>Valeur A</t>
        </is>
      </c>
      <c r="D4" s="94" t="inlineStr">
        <is>
          <t>Valeur B</t>
        </is>
      </c>
      <c r="E4" s="94" t="inlineStr">
        <is>
          <t>Écart</t>
        </is>
      </c>
      <c r="F4" s="94" t="inlineStr">
        <is>
          <t>Statut</t>
        </is>
      </c>
    </row>
    <row r="5">
      <c r="A5" s="179" t="n">
        <v>1</v>
      </c>
      <c r="B5" s="180" t="inlineStr">
        <is>
          <t>Balance : total débit = total crédit</t>
        </is>
      </c>
      <c r="C5" s="181">
        <f>'Balance'!$C$33</f>
        <v>1007325.2</v>
      </c>
      <c r="D5" s="181">
        <f>'Balance'!$D$33</f>
        <v>1007325.2</v>
      </c>
      <c r="E5" s="181">
        <f>ROUND(C5-D5,2)</f>
        <v>0</v>
      </c>
      <c r="F5" s="182" t="str">
        <f>IF(E5=0,"✓ OK","✗ Écart")</f>
        <v>✓ OK</v>
      </c>
    </row>
    <row r="6">
      <c r="A6" s="179" t="n">
        <v>2</v>
      </c>
      <c r="B6" s="180" t="inlineStr">
        <is>
          <t>Bilan : total actif = total passif</t>
        </is>
      </c>
      <c r="C6" s="181">
        <f>'Bilan'!$B$13</f>
        <v>160622.12</v>
      </c>
      <c r="D6" s="181">
        <f>'Bilan'!$F$13</f>
        <v>160622.12</v>
      </c>
      <c r="E6" s="181">
        <f>ROUND(C6-D6,2)</f>
        <v>0</v>
      </c>
      <c r="F6" s="182" t="str">
        <f>IF(E6=0,"✓ OK","✗ Écart")</f>
        <v>✓ OK</v>
      </c>
    </row>
    <row r="7">
      <c r="A7" s="179" t="n">
        <v>3</v>
      </c>
      <c r="B7" s="180" t="inlineStr">
        <is>
          <t>Bilan : actif − passif hors résultat = résultat du compte de résultat</t>
        </is>
      </c>
      <c r="C7" s="181">
        <f>'Bilan'!$B$13-SUM('Bilan'!$F$4:$F$11)</f>
        <v>9918.08000000002</v>
      </c>
      <c r="D7" s="181">
        <f>'Compte de résultat'!$B$25</f>
        <v>9918.08000000001</v>
      </c>
      <c r="E7" s="181">
        <f>ROUND(C7-D7,2)</f>
        <v>0</v>
      </c>
      <c r="F7" s="182" t="str">
        <f>IF(E7=0,"✓ OK","✗ Écart")</f>
        <v>✓ OK</v>
      </c>
    </row>
    <row r="8">
      <c r="A8" s="179" t="n">
        <v>4</v>
      </c>
      <c r="B8" s="180" t="inlineStr">
        <is>
          <t>Immobilisations : dotation du registre = compte 6800</t>
        </is>
      </c>
      <c r="C8" s="181">
        <f>'Immobilisations'!$F$8</f>
        <v>12400</v>
      </c>
      <c r="D8" s="181">
        <f>'Compte de résultat'!$B$17</f>
        <v>12400</v>
      </c>
      <c r="E8" s="181">
        <f>ROUND(C8-D8,2)</f>
        <v>0</v>
      </c>
      <c r="F8" s="182" t="str">
        <f>IF(E8=0,"✓ OK","✗ Écart")</f>
        <v>✓ OK</v>
      </c>
    </row>
    <row r="9">
      <c r="A9" s="179" t="n">
        <v>5</v>
      </c>
      <c r="B9" s="180" t="inlineStr">
        <is>
          <t>Débiteurs : balance âgée = compte 1100</t>
        </is>
      </c>
      <c r="C9" s="181">
        <f>'Débiteurs'!$E$13</f>
        <v>32100</v>
      </c>
      <c r="D9" s="181">
        <f>'Bilan'!$B$6</f>
        <v>32100</v>
      </c>
      <c r="E9" s="181">
        <f>ROUND(C9-D9,2)</f>
        <v>0</v>
      </c>
      <c r="F9" s="182" t="str">
        <f>IF(E9=0,"✓ OK","✗ Écart")</f>
        <v>✓ OK</v>
      </c>
    </row>
    <row r="10">
      <c r="A10" s="179" t="n">
        <v>6</v>
      </c>
      <c r="B10" s="180" t="inlineStr">
        <is>
          <t>Trésorerie : variation du tableau de flux = caisse + banque</t>
        </is>
      </c>
      <c r="C10" s="181">
        <f>'Flux de trésorerie'!$B$19</f>
        <v>73682.12</v>
      </c>
      <c r="D10" s="181">
        <f>'Flux de trésorerie'!$B$20</f>
        <v>73682.12</v>
      </c>
      <c r="E10" s="181">
        <f>ROUND(C10-D10,2)</f>
        <v>0</v>
      </c>
      <c r="F10" s="182" t="str">
        <f>IF(E10=0,"✓ OK","✗ Écart")</f>
        <v>✓ OK</v>
      </c>
    </row>
    <row r="11">
      <c r="A11" s="179" t="n">
        <v>7</v>
      </c>
      <c r="B11" s="180" t="inlineStr">
        <is>
          <t>Rapprochement : relevé ajusté = compte 1020</t>
        </is>
      </c>
      <c r="C11" s="181">
        <f>'Rapprochement'!$B$4+'Rapprochement'!$B$5+'Rapprochement'!$B$6+'Rapprochement'!$B$7</f>
        <v>73682.12</v>
      </c>
      <c r="D11" s="181">
        <f>'Rapprochement'!$B$8</f>
        <v>73682.12</v>
      </c>
      <c r="E11" s="181">
        <f>ROUND(C11-D11,2)</f>
        <v>0</v>
      </c>
      <c r="F11" s="182" t="str">
        <f>IF(E11=0,"✓ OK","✗ Écart")</f>
        <v>✓ OK</v>
      </c>
    </row>
    <row r="12">
      <c r="A12" s="179" t="n">
        <v>8</v>
      </c>
      <c r="B12" s="180" t="inlineStr">
        <is>
          <t>TVA : solde compte 2200 au 31.12 = TVA nette T4</t>
        </is>
      </c>
      <c r="C12" s="181">
        <f>'Décompte TVA'!$B$17</f>
        <v>4339.17</v>
      </c>
      <c r="D12" s="181">
        <f>'Décompte TVA'!$G$8</f>
        <v>4339.17</v>
      </c>
      <c r="E12" s="181">
        <f>ROUND(C12-D12,2)</f>
        <v>0</v>
      </c>
      <c r="F12" s="182" t="str">
        <f>IF(E12=0,"✓ OK","✗ Écart")</f>
        <v>✓ OK</v>
      </c>
    </row>
    <row r="13">
      <c r="A13" s="179" t="n">
        <v>9</v>
      </c>
      <c r="B13" s="180" t="inlineStr">
        <is>
          <t>TVA : impôt préalable 1176 soldé après compensation</t>
        </is>
      </c>
      <c r="C13" s="181">
        <f>'Bilan'!$B$7</f>
        <v>0</v>
      </c>
      <c r="D13" s="181">
        <f>0</f>
        <v>0</v>
      </c>
      <c r="E13" s="181">
        <f>ROUND(C13-D13,2)</f>
        <v>0</v>
      </c>
      <c r="F13" s="182" t="str">
        <f>IF(E13=0,"✓ OK","✗ Écart")</f>
        <v>✓ OK</v>
      </c>
    </row>
    <row r="14">
      <c r="A14" s="179" t="n">
        <v>10</v>
      </c>
      <c r="B14" s="180" t="inlineStr">
        <is>
          <t>TVA : paiements/remboursements AFC selon journal = décomptes T1–T3</t>
        </is>
      </c>
      <c r="C14" s="181">
        <f>SUMPRODUCT((tblJournal[Débit]="2200")*(tblJournal[Crédit]="1020")*tblJournal[Montant HT])-SUMPRODUCT((tblJournal[Débit]="1020")*(tblJournal[Crédit]="2200")*tblJournal[Montant HT])</f>
        <v>3307.23</v>
      </c>
      <c r="D14" s="181">
        <f>SUM('Décompte TVA'!$F$5:$F$7)</f>
        <v>3307.23</v>
      </c>
      <c r="E14" s="181">
        <f>ROUND(C14-D14,2)</f>
        <v>0</v>
      </c>
      <c r="F14" s="182" t="str">
        <f>IF(E14=0,"✓ OK","✗ Écart")</f>
        <v>✓ OK</v>
      </c>
    </row>
    <row r="15">
      <c r="A15" s="179" t="n">
        <v>11</v>
      </c>
      <c r="B15" s="180" t="inlineStr">
        <is>
          <t>Journal : lignes avec TVA entre deux comptes de contrepartie (erreur d'imputation)</t>
        </is>
      </c>
      <c r="C15" s="183">
        <f>COUNTIF(tblJournal[Cpte TVA],"ERREUR")</f>
        <v>0</v>
      </c>
      <c r="D15" s="183">
        <f>0</f>
        <v>0</v>
      </c>
      <c r="E15" s="183">
        <f>ROUND(C15-D15,2)</f>
        <v>0</v>
      </c>
      <c r="F15" s="182" t="str">
        <f>IF(E15=0,"✓ OK","✗ Écart")</f>
        <v>✓ OK</v>
      </c>
    </row>
    <row r="16">
      <c r="A16" s="179" t="n">
        <v>12</v>
      </c>
      <c r="B16" s="180" t="inlineStr">
        <is>
          <t>Journal : comptes inconnus du plan comptable</t>
        </is>
      </c>
      <c r="C16" s="183">
        <f>SUMPRODUCT((tblJournal[Débit]&lt;&gt;"")*ISNA(MATCH(tblJournal[Débit],Comptes,0)))+SUMPRODUCT((tblJournal[Crédit]&lt;&gt;"")*ISNA(MATCH(tblJournal[Crédit],Comptes,0)))</f>
        <v>0</v>
      </c>
      <c r="D16" s="183">
        <f>0</f>
        <v>0</v>
      </c>
      <c r="E16" s="183">
        <f>ROUND(C16-D16,2)</f>
        <v>0</v>
      </c>
      <c r="F16" s="182" t="str">
        <f>IF(E16=0,"✓ OK","✗ Écart")</f>
        <v>✓ OK</v>
      </c>
    </row>
    <row r="17">
      <c r="A17" s="179" t="n">
        <v>13</v>
      </c>
      <c r="B17" s="180" t="inlineStr">
        <is>
          <t>Compta analytique : résultat analytique = résultat d'exploitation</t>
        </is>
      </c>
      <c r="C17" s="181">
        <f>'Compta analytique'!$B$41+'Compta analytique'!$C$41</f>
        <v>13640.98</v>
      </c>
      <c r="D17" s="181">
        <f>'Compte de résultat'!$B$19</f>
        <v>13640.98</v>
      </c>
      <c r="E17" s="181">
        <f>ROUND(C17-D17,2)</f>
        <v>0</v>
      </c>
      <c r="F17" s="182" t="str">
        <f>IF(E17=0,"✓ OK","✗ Écart")</f>
        <v>✓ OK</v>
      </c>
    </row>
    <row r="18">
      <c r="A18" s="179" t="n">
        <v>14</v>
      </c>
      <c r="B18" s="180" t="inlineStr">
        <is>
          <t>Impôts : provision comptabilisée (8900) = calcul de la feuille Impôts</t>
        </is>
      </c>
      <c r="C18" s="181">
        <f>'Compte de résultat'!$B$24</f>
        <v>1922.9</v>
      </c>
      <c r="D18" s="181">
        <f>'Impôts'!$B$13</f>
        <v>1922.9</v>
      </c>
      <c r="E18" s="181">
        <f>ROUND(C18-D18,2)</f>
        <v>0</v>
      </c>
      <c r="F18" s="182" t="str">
        <f>IF(E18=0,"✓ OK","✗ Écart")</f>
        <v>✓ OK</v>
      </c>
    </row>
    <row r="19">
      <c r="A19" s="179" t="n">
        <v>15</v>
      </c>
      <c r="B19" s="180" t="inlineStr">
        <is>
          <t>Dettes sociales : solde 2270 au 31.12 = retenues + charges patronales T4</t>
        </is>
      </c>
      <c r="C19" s="181">
        <f>'Bilan'!$F$6</f>
        <v>5211.97</v>
      </c>
      <c r="D19" s="181">
        <f>'Salaires'!$G$16</f>
        <v>5211.97</v>
      </c>
      <c r="E19" s="181">
        <f>ROUND(C19-D19,2)</f>
        <v>0</v>
      </c>
      <c r="F19" s="182" t="str">
        <f>IF(E19=0,"✓ OK","✗ Écart")</f>
        <v>✓ OK</v>
      </c>
    </row>
    <row r="20">
      <c r="A20" s="179" t="n">
        <v>16</v>
      </c>
      <c r="B20" s="180" t="inlineStr">
        <is>
          <t>Salaires : bruts du journal (5000) = feuille Salaires</t>
        </is>
      </c>
      <c r="C20" s="181">
        <f>'Compte de résultat'!$B$11</f>
        <v>102000</v>
      </c>
      <c r="D20" s="181">
        <f>'Salaires'!$E$9</f>
        <v>102000</v>
      </c>
      <c r="E20" s="181">
        <f>ROUND(C20-D20,2)</f>
        <v>0</v>
      </c>
      <c r="F20" s="182" t="str">
        <f>IF(E20=0,"✓ OK","✗ Écart")</f>
        <v>✓ OK</v>
      </c>
    </row>
    <row r="21">
      <c r="A21" s="179" t="n">
        <v>17</v>
      </c>
      <c r="B21" s="180" t="inlineStr">
        <is>
          <t>Salaires : charges patronales du journal (5700) = feuille Salaires</t>
        </is>
      </c>
      <c r="C21" s="181">
        <f>'Compte de résultat'!$B$12</f>
        <v>11549.02</v>
      </c>
      <c r="D21" s="181">
        <f>'Salaires'!$L$9</f>
        <v>11549.016</v>
      </c>
      <c r="E21" s="181">
        <f>ROUND(C21-D21,2)</f>
        <v>0</v>
      </c>
      <c r="F21" s="182" t="str">
        <f>IF(E21=0,"✓ OK","✗ Écart")</f>
        <v>✓ OK</v>
      </c>
    </row>
    <row r="22">
      <c r="A22" s="179" t="n">
        <v>18</v>
      </c>
      <c r="B22" s="180" t="inlineStr">
        <is>
          <t>Emprunt : intérêts 2025 du plan d'amortissement = charges financières (6900)</t>
        </is>
      </c>
      <c r="C22" s="181">
        <f>'Emprunt'!$C$11</f>
        <v>1800</v>
      </c>
      <c r="D22" s="181">
        <f>'Compte de résultat'!$B$22</f>
        <v>1800</v>
      </c>
      <c r="E22" s="181">
        <f>ROUND(C22-D22,2)</f>
        <v>0</v>
      </c>
      <c r="F22" s="182" t="str">
        <f>IF(E22=0,"✓ OK","✗ Écart")</f>
        <v>✓ OK</v>
      </c>
    </row>
    <row r="23"/>
    <row r="24">
      <c r="B24" s="142" t="inlineStr">
        <is>
          <t>STATUT GLOBAL</t>
        </is>
      </c>
      <c r="F24" s="184" t="str">
        <f>IF(COUNTIF(F5:F22,"✓ OK")=18,"✓ Tous les contrôles passent","✗ "&amp;COUNTIF(F5:F22,"✗*")&amp;" contrôle(s) en écart")</f>
        <v>✓ Tous les contrôles passent</v>
      </c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0" sort="1"/>
  <conditionalFormatting sqref="F5:F24">
    <cfRule type="expression" priority="1" dxfId="3">
      <formula>LEFT(F5,1)="✗"</formula>
    </cfRule>
    <cfRule type="expression" priority="2" dxfId="4">
      <formula>LEFT(F5,1)="✓"</formula>
    </cfRule>
  </conditionalFormatting>
  <hyperlinks>
    <hyperlink ref="H1" location="'Sommaire'!A1" display="← Sommaire"/>
  </hyperlinks>
  <printOptions horizontalCentered="1"/>
  <pageMargins left="0.5" right="0.5" top="0.6" bottom="0.7" header="0.5" footer="0.5"/>
  <pageSetup orientation="landscape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xl/worksheets/sheet26.xml><?xml version="1.0" encoding="utf-8"?>
<worksheet xmlns="http://schemas.openxmlformats.org/spreadsheetml/2006/main">
  <sheetPr>
    <tabColor rgb="0064748B"/>
    <outlinePr summaryBelow="1" summaryRight="1"/>
    <pageSetUpPr fitToPage="1"/>
  </sheetPr>
  <dimension ref="A1:E33"/>
  <sheetViews>
    <sheetView showGridLines="0" zoomScale="100" workbookViewId="0">
      <selection activeCell="A1" sqref="A1"/>
    </sheetView>
  </sheetViews>
  <sheetFormatPr baseColWidth="8" defaultRowHeight="15"/>
  <cols>
    <col width="30.7" customWidth="1" min="1" max="1"/>
    <col width="86.7109375" customWidth="1" min="2" max="2"/>
    <col width="13" customWidth="1" min="4" max="4"/>
  </cols>
  <sheetData>
    <row r="1" ht="27" customHeight="1">
      <c r="A1" s="110" t="inlineStr">
        <is>
          <t>Méthodes &amp; fonctions employées</t>
        </is>
      </c>
      <c r="D1" s="76" t="inlineStr">
        <is>
          <t>← Sommaire</t>
        </is>
      </c>
    </row>
    <row r="2"/>
    <row r="3"/>
    <row r="4">
      <c r="A4" s="185" t="inlineStr">
        <is>
          <t>Tableau structuré</t>
        </is>
      </c>
      <c r="B4" s="186" t="inlineStr">
        <is>
          <t>Journal = tableau nommé (tblJournal).</t>
        </is>
      </c>
    </row>
    <row r="5">
      <c r="A5" s="185" t="inlineStr">
        <is>
          <t>Listes de validation</t>
        </is>
      </c>
      <c r="B5" s="186" t="inlineStr">
        <is>
          <t>Comptes &amp; codes TVA en menus déroulants.</t>
        </is>
      </c>
    </row>
    <row r="6">
      <c r="A6" s="185" t="inlineStr">
        <is>
          <t>INDEX/MATCH</t>
        </is>
      </c>
      <c r="B6" s="186" t="inlineStr">
        <is>
          <t>Taux TVA, libellés, base TVA et données salariales cherchés par clé (IFERROR).</t>
        </is>
      </c>
    </row>
    <row r="7">
      <c r="A7" s="185" t="inlineStr">
        <is>
          <t>SUMIF/SUMIFS</t>
        </is>
      </c>
      <c r="B7" s="186" t="inlineStr">
        <is>
          <t>Balance, bilan, résultat, TVA agrègent le journal.</t>
        </is>
      </c>
    </row>
    <row r="8">
      <c r="A8" s="185" t="inlineStr">
        <is>
          <t>SUMPRODUCT</t>
        </is>
      </c>
      <c r="B8" s="186" t="inlineStr">
        <is>
          <t>Synthèses mensuelles, budget, trésorerie (filtres croisés).</t>
        </is>
      </c>
    </row>
    <row r="9">
      <c r="A9" s="185" t="inlineStr">
        <is>
          <t>FILTER (365)</t>
        </is>
      </c>
      <c r="B9" s="186" t="inlineStr">
        <is>
          <t>Grand livre : extraction dynamique des écritures.</t>
        </is>
      </c>
    </row>
    <row r="10">
      <c r="A10" s="185" t="inlineStr">
        <is>
          <t>LOOKUP</t>
        </is>
      </c>
      <c r="B10" s="186" t="inlineStr">
        <is>
          <t>Salaires : LPP par tranche d'âge.</t>
        </is>
      </c>
    </row>
    <row r="11">
      <c r="A11" s="185" t="inlineStr">
        <is>
          <t>PMT/IPMT/PPMT</t>
        </is>
      </c>
      <c r="B11" s="186" t="inlineStr">
        <is>
          <t>Feuille « Emprunt » : annuité constante, part intérêts / amortissement par année, part à court terme au bilan.</t>
        </is>
      </c>
    </row>
    <row r="12">
      <c r="A12" s="185" t="inlineStr">
        <is>
          <t>Immobilisations</t>
        </is>
      </c>
      <c r="B12" s="186" t="inlineStr">
        <is>
          <t>Registre + matrice pluriannuelle (dotation par année) + contrôle vs 6800.</t>
        </is>
      </c>
    </row>
    <row r="13">
      <c r="A13" s="185" t="inlineStr">
        <is>
          <t>Fiche de salaire</t>
        </is>
      </c>
      <c r="B13" s="186" t="inlineStr">
        <is>
          <t>Sélection d'un employé → fiche auto-remplie (INDEX/MATCH) + zone d'impression PDF.</t>
        </is>
      </c>
    </row>
    <row r="14">
      <c r="A14" s="185" t="inlineStr">
        <is>
          <t>Balance âgée</t>
        </is>
      </c>
      <c r="B14" s="186" t="inlineStr">
        <is>
          <t>Débiteurs classés par ancienneté (IF imbriqués + SUMIF).</t>
        </is>
      </c>
    </row>
    <row r="15">
      <c r="A15" s="185" t="inlineStr">
        <is>
          <t>Flux de trésorerie</t>
        </is>
      </c>
      <c r="B15" s="186" t="inlineStr">
        <is>
          <t>Méthode indirecte : exploitation / investissement / financement.</t>
        </is>
      </c>
    </row>
    <row r="16">
      <c r="A16" s="185" t="inlineStr">
        <is>
          <t>Rapprochement bancaire</t>
        </is>
      </c>
      <c r="B16" s="186" t="inlineStr">
        <is>
          <t>Du relevé au solde comptable, avec contrôle.</t>
        </is>
      </c>
    </row>
    <row r="17">
      <c r="A17" s="185" t="inlineStr">
        <is>
          <t>Budget &amp; N+1</t>
        </is>
      </c>
      <c r="B17" s="186" t="inlineStr">
        <is>
          <t>Budget vs réel + prévisionnel piloté par hypothèses.</t>
        </is>
      </c>
    </row>
    <row r="18">
      <c r="A18" s="185" t="inlineStr">
        <is>
          <t>Scénarios &amp; sensibilité</t>
        </is>
      </c>
      <c r="B18" s="186" t="inlineStr">
        <is>
          <t>Matrice Résultat = f(ΔCA, Δcharges) + échelle couleur.</t>
        </is>
      </c>
    </row>
    <row r="19">
      <c r="A19" s="185" t="inlineStr">
        <is>
          <t>Ratios financiers</t>
        </is>
      </c>
      <c r="B19" s="186" t="inlineStr">
        <is>
          <t>Liquidité, FR, BFR, ROE, endettement, DSO.</t>
        </is>
      </c>
    </row>
    <row r="20">
      <c r="A20" s="185" t="inlineStr">
        <is>
          <t>Compta analytique (CAE)</t>
        </is>
      </c>
      <c r="B20" s="186" t="inlineStr">
        <is>
          <t>Répartition primaire/secondaire par centre + coût &amp; résultat par activité, réconciliée à la compta.</t>
        </is>
      </c>
    </row>
    <row r="21">
      <c r="A21" s="185" t="inlineStr">
        <is>
          <t>Seuil de rentabilité</t>
        </is>
      </c>
      <c r="B21" s="186" t="inlineStr">
        <is>
          <t>Point mort &amp; marge de sécurité + graphique.</t>
        </is>
      </c>
    </row>
    <row r="22">
      <c r="A22" s="185" t="inlineStr">
        <is>
          <t>Fonctions texte &amp; date</t>
        </is>
      </c>
      <c r="B22" s="186" t="inlineStr">
        <is>
          <t>LEFT (classe de compte), MONTH/ROUNDUP (mois et trimestres), TEXT (étiquettes), COUNTIF/ISNA (cohérence du journal).</t>
        </is>
      </c>
    </row>
    <row r="23">
      <c r="A23" s="185" t="inlineStr">
        <is>
          <t>Source unique</t>
        </is>
      </c>
      <c r="B23" s="186" t="inlineStr">
        <is>
          <t>Tous les taux dans « Paramètres ».</t>
        </is>
      </c>
    </row>
    <row r="24" ht="42" customHeight="1">
      <c r="A24" s="185" t="inlineStr">
        <is>
          <t>TVA comptabilisée</t>
        </is>
      </c>
      <c r="B24" s="186" t="inlineStr">
        <is>
          <t>Une ligne = trois imputations : montant HT sur le compte de produit/charge/actif, TTC sur la contrepartie (débiteurs, créanciers, banque), TVA sur 2200 ou 1176 (colonne « Cpte TVA »). Décomptes trimestriels, compensation 1176/2200 et paiement à l'AFC dans le journal.</t>
        </is>
      </c>
    </row>
    <row r="25" ht="42" customHeight="1">
      <c r="A25" s="185" t="inlineStr">
        <is>
          <t>Bouclement</t>
        </is>
      </c>
      <c r="B25" s="186" t="inlineStr">
        <is>
          <t>Écritures de régularisation au 31.12 (charges à payer 2300, charges payées d'avance 1300) et compensation TVA T4 : périodicité selon art. 958b CO. Le report du résultat se fait à l'ouverture de l'exercice suivant.</t>
        </is>
      </c>
    </row>
    <row r="26" ht="42" customHeight="1">
      <c r="A26" s="185" t="inlineStr">
        <is>
          <t>Classe de compte</t>
        </is>
      </c>
      <c r="B26" s="186" t="inlineStr">
        <is>
          <t>Produits = classe 3, charges = classes 4–6 : les synthèses mensuelles lisent le numéro de compte (GAUCHE), pas la « nature », qui reste un libellé de tri.</t>
        </is>
      </c>
    </row>
    <row r="27" ht="42" customHeight="1">
      <c r="A27" s="185" t="inlineStr">
        <is>
          <t>Amortissements</t>
        </is>
      </c>
      <c r="B27" s="186" t="inlineStr">
        <is>
          <t>Registre : amortissement commercial (durée économique) et comparaison avec les taux maximaux de la Notice A (AFC) ; l'excédent est signalé comme reprise fiscale extra-comptable.</t>
        </is>
      </c>
    </row>
    <row r="28" ht="42" customHeight="1">
      <c r="A28" s="185" t="inlineStr">
        <is>
          <t>Protection &amp; références</t>
        </is>
      </c>
      <c r="B28" s="186" t="inlineStr">
        <is>
          <t>Feuilles de synthèse protégées sans mot de passe (Révision → Ôter la protection) ; les formules lisent le journal par références structurées (tblJournal[Débit]) qui s'étendent avec le tableau.</t>
        </is>
      </c>
    </row>
    <row r="29" ht="42" customHeight="1">
      <c r="A29" s="185" t="inlineStr">
        <is>
          <t>Impôts</t>
        </is>
      </c>
      <c r="B29" s="186" t="inlineStr">
        <is>
          <t>Provision pour impôts directs (8900 / 2330) calculée sur le bénéfice imposable (résultat avant impôts + reprise fiscale), impôt déductible : T = t·B/(1+t). Taux : IFD 8.5 % (art. 68 LIFD) + hypothèse cantonale/communale FR.</t>
        </is>
      </c>
    </row>
    <row r="30" ht="42" customHeight="1">
      <c r="A30" s="185" t="inlineStr">
        <is>
          <t>Salaires</t>
        </is>
      </c>
      <c r="B30" s="186" t="inlineStr">
        <is>
          <t>Effectif de trois temps partiels (feuille Salaires) = masse salariale du journal ; salaires bruts et charges patronales passent par 2270 (dettes sociales) ; décomptes trimestriels versés à la caisse de compensation, solde T4 au bilan.</t>
        </is>
      </c>
    </row>
    <row r="31" ht="42" customHeight="1">
      <c r="A31" s="185" t="inlineStr">
        <is>
          <t>Contrôles</t>
        </is>
      </c>
      <c r="B31" s="186" t="inlineStr">
        <is>
          <t>Feuille « Contrôles » : 18 vérifications croisées (équilibre, TVA, immobilisations, débiteurs, trésorerie, cohérence du journal) avec statut global.</t>
        </is>
      </c>
    </row>
    <row r="32"/>
    <row r="33">
      <c r="B33" s="103" t="inlineStr">
        <is>
          <t>Données fictives — démonstration.</t>
        </is>
      </c>
    </row>
  </sheetData>
  <hyperlinks>
    <hyperlink ref="D1" location="'Sommaire'!A1" display="← Sommaire"/>
  </hyperlinks>
  <printOptions horizontalCentered="1"/>
  <pageMargins left="0.5" right="0.5" top="0.6" bottom="0.7" header="0.3" footer="0.3"/>
  <pageSetup orientation="portrait" paperSize="9" fitToHeight="0" fitToWidth="1"/>
  <headerFooter>
    <oddHeader/>
    <oddFooter>&amp;L&amp;8 Atelier Léman Sàrl — &amp;A&amp;R&amp;8 Page &amp;P /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terms:created xmlns:dcterms="http://purl.org/dc/terms/" xmlns:xsi="http://www.w3.org/2001/XMLSchema-instance" xsi:type="dcterms:W3CDTF">2026-07-02T18:27:28Z</dcterms:created>
  <dcterms:modified xmlns:dcterms="http://purl.org/dc/terms/" xmlns:xsi="http://www.w3.org/2001/XMLSchema-instance" xsi:type="dcterms:W3CDTF">2026-11-05T20:53:46Z</dcterms:modified>
</cp:coreProperties>
</file>